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drawings/drawing17.xml" ContentType="application/vnd.openxmlformats-officedocument.drawingml.chartshape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4006B399-8675-4F54-A24A-14731B9CF123}" xr6:coauthVersionLast="47" xr6:coauthVersionMax="47" xr10:uidLastSave="{00000000-0000-0000-0000-000000000000}"/>
  <bookViews>
    <workbookView xWindow="-108" yWindow="-108" windowWidth="23256" windowHeight="12576" tabRatio="803" xr2:uid="{00000000-000D-0000-FFFF-FFFF00000000}"/>
  </bookViews>
  <sheets>
    <sheet name="表1-1" sheetId="33" r:id="rId1"/>
    <sheet name="表1-2" sheetId="35" r:id="rId2"/>
    <sheet name="図1" sheetId="36" r:id="rId3"/>
    <sheet name="表2" sheetId="34" r:id="rId4"/>
    <sheet name="表3" sheetId="38" r:id="rId5"/>
    <sheet name="表4及び5" sheetId="7" r:id="rId6"/>
    <sheet name="図2" sheetId="39" r:id="rId7"/>
    <sheet name="図3" sheetId="40" r:id="rId8"/>
    <sheet name="表6及7" sheetId="10" r:id="rId9"/>
    <sheet name="表8及9" sheetId="45" r:id="rId10"/>
    <sheet name="図4" sheetId="47" r:id="rId11"/>
    <sheet name="表10-1" sheetId="65" r:id="rId12"/>
    <sheet name="表10-2" sheetId="14" r:id="rId13"/>
    <sheet name="図5" sheetId="51" r:id="rId14"/>
    <sheet name="図6" sheetId="52" r:id="rId15"/>
    <sheet name="図7" sheetId="53" r:id="rId16"/>
    <sheet name="図8" sheetId="54" r:id="rId17"/>
    <sheet name="表12-1" sheetId="19" r:id="rId18"/>
    <sheet name="表12-2" sheetId="56" r:id="rId19"/>
    <sheet name="表13" sheetId="22" r:id="rId20"/>
    <sheet name="表14-1" sheetId="59" r:id="rId21"/>
    <sheet name="表14-2" sheetId="24" r:id="rId22"/>
    <sheet name="表15" sheetId="64" r:id="rId23"/>
    <sheet name="情報" sheetId="43" state="hidden" r:id="rId24"/>
  </sheets>
  <definedNames>
    <definedName name="___xlnm.Print_Area" localSheetId="11">'表10-1'!$A$6:$W$30</definedName>
    <definedName name="__xlnm.Print_Area" localSheetId="12">'表10-2'!$A$1:$Z$40</definedName>
    <definedName name="__xlnm.Print_Area" localSheetId="17">'表12-1'!$A$1:$AH$21</definedName>
    <definedName name="__xlnm.Print_Area" localSheetId="19">表13!$A$4:$I$29</definedName>
    <definedName name="__xlnm.Print_Area" localSheetId="21">'表14-2'!$A$2:$L$21</definedName>
    <definedName name="__xlnm.Print_Area" localSheetId="3">表2!$A$1:$K$11</definedName>
    <definedName name="__xlnm.Print_Area" localSheetId="5">表4及び5!$A$1:$L$83</definedName>
    <definedName name="__xlnm.Print_Area" localSheetId="8">表6及7!$A$1:$U$48</definedName>
    <definedName name="_xlnm.Print_Area" localSheetId="2">図1!$A$1:$K$42</definedName>
    <definedName name="_xlnm.Print_Area" localSheetId="6">図2!$A$1:$L$177</definedName>
    <definedName name="_xlnm.Print_Area" localSheetId="7">図3!$A$1:$K$93</definedName>
    <definedName name="_xlnm.Print_Area" localSheetId="10">図4!$A$1:$M$34</definedName>
    <definedName name="_xlnm.Print_Area" localSheetId="13">図5!$A$1:$M$34</definedName>
    <definedName name="_xlnm.Print_Area" localSheetId="14">図6!$A$1:$M$30</definedName>
    <definedName name="_xlnm.Print_Area" localSheetId="15">図7!$A$1:$M$30</definedName>
    <definedName name="_xlnm.Print_Area" localSheetId="16">図8!$A$1:$M$30</definedName>
    <definedName name="_xlnm.Print_Area" localSheetId="11">'表10-1'!$A$1:$W$30</definedName>
    <definedName name="_xlnm.Print_Area" localSheetId="12">'表10-2'!$A$1:$L$61</definedName>
    <definedName name="_xlnm.Print_Area" localSheetId="0">'表1-1'!$A$1:$X$59</definedName>
    <definedName name="_xlnm.Print_Area" localSheetId="1">'表1-2'!$A$1:$AD$37</definedName>
    <definedName name="_xlnm.Print_Area" localSheetId="17">'表12-1'!$A$1:$AH$21</definedName>
    <definedName name="_xlnm.Print_Area" localSheetId="18">'表12-2'!$A$1:$R$48</definedName>
    <definedName name="_xlnm.Print_Area" localSheetId="19">表13!$A$1:$I$29</definedName>
    <definedName name="_xlnm.Print_Area" localSheetId="20">'表14-1'!$A$1:$M$30</definedName>
    <definedName name="_xlnm.Print_Area" localSheetId="21">'表14-2'!$A$1:$L$80</definedName>
    <definedName name="_xlnm.Print_Area" localSheetId="22">表15!$A$1:$G$26</definedName>
    <definedName name="_xlnm.Print_Area" localSheetId="3">表2!$A$1:$K$11</definedName>
    <definedName name="_xlnm.Print_Area" localSheetId="4">表3!$A$1:$O$118</definedName>
    <definedName name="_xlnm.Print_Area" localSheetId="5">表4及び5!$A$1:$H$101</definedName>
    <definedName name="_xlnm.Print_Area" localSheetId="8">表6及7!$A$1:$V$48</definedName>
    <definedName name="_xlnm.Print_Area" localSheetId="9">表8及9!$A$1:$R$53</definedName>
    <definedName name="Z_5CAA5105_8933_11D9_B515_00E0006B9775_.wvu.Cols" localSheetId="2" hidden="1">図1!$G:$G</definedName>
    <definedName name="Z_5CAA5105_8933_11D9_B515_00E0006B9775_.wvu.PrintArea" localSheetId="2" hidden="1">図1!$A$1:$K$41</definedName>
    <definedName name="Z_5CAA5105_8933_11D9_B515_00E0006B9775_.wvu.PrintArea" localSheetId="7" hidden="1">図3!$A$1:$K$40</definedName>
    <definedName name="Z_5CAA5105_8933_11D9_B515_00E0006B9775_.wvu.PrintArea" localSheetId="10" hidden="1">図4!$A$1:$M$33</definedName>
    <definedName name="Z_5CAA5105_8933_11D9_B515_00E0006B9775_.wvu.PrintArea" localSheetId="13" hidden="1">図5!$A$3:$L$31</definedName>
    <definedName name="Z_5CAA5105_8933_11D9_B515_00E0006B9775_.wvu.PrintArea" localSheetId="14" hidden="1">図6!$A$1:$L$30</definedName>
    <definedName name="Z_5CAA5105_8933_11D9_B515_00E0006B9775_.wvu.PrintArea" localSheetId="15" hidden="1">図7!$A$1:$L$30</definedName>
    <definedName name="Z_5CAA5105_8933_11D9_B515_00E0006B9775_.wvu.PrintArea" localSheetId="16" hidden="1">図8!$A$1:$L$29</definedName>
    <definedName name="Z_5CAA5105_8933_11D9_B515_00E0006B9775_.wvu.PrintArea" localSheetId="1" hidden="1">'表1-2'!$A$1:$AE$52</definedName>
    <definedName name="Z_5CAA5105_8933_11D9_B515_00E0006B9775_.wvu.PrintArea" localSheetId="18" hidden="1">'表12-2'!$A$14:$R$48</definedName>
    <definedName name="Z_5CAA5105_8933_11D9_B515_00E0006B9775_.wvu.PrintArea" localSheetId="4" hidden="1">表3!$A$1:$AB$54</definedName>
    <definedName name="Z_5CAA5105_8933_11D9_B515_00E0006B9775_.wvu.PrintArea" localSheetId="9" hidden="1">表8及9!$A$1:$L$28</definedName>
    <definedName name="Z_5CAA5105_8933_11D9_B515_00E0006B9775__wvu_PrintArea" localSheetId="12">'表10-2'!$A$1:$Z$35</definedName>
    <definedName name="Z_5CAA5105_8933_11D9_B515_00E0006B9775__wvu_PrintArea" localSheetId="17">'表12-1'!$A$1:$AH$21</definedName>
    <definedName name="Z_5CAA5105_8933_11D9_B515_00E0006B9775__wvu_PrintArea" localSheetId="3">表2!$A$1:$K$11</definedName>
    <definedName name="Z_5CAA5105_8933_11D9_B515_00E0006B9775__wvu_PrintArea" localSheetId="8">表6及7!$A$1:$O$48</definedName>
    <definedName name="Z_5CAA5105_8933_11D9_B515_00E0006B9775__wvu_Rows" localSheetId="11">#N/A</definedName>
    <definedName name="図６__現年分保険料_税_収納率の推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5" l="1"/>
  <c r="M88" i="40" l="1"/>
  <c r="H98" i="7"/>
  <c r="H97" i="7"/>
  <c r="H91" i="7"/>
  <c r="H90" i="7"/>
  <c r="H80" i="7"/>
  <c r="H78" i="7"/>
  <c r="H77" i="7"/>
  <c r="H76" i="7"/>
  <c r="H75" i="7"/>
  <c r="H74" i="7"/>
  <c r="H73" i="7"/>
  <c r="H72" i="7"/>
  <c r="H71" i="7"/>
  <c r="H70" i="7"/>
  <c r="H69" i="7"/>
  <c r="H67" i="7"/>
  <c r="H66" i="7"/>
  <c r="H65" i="7"/>
  <c r="H64" i="7"/>
  <c r="H63" i="7"/>
  <c r="H62" i="7"/>
  <c r="H61" i="7"/>
  <c r="H55" i="7"/>
  <c r="H53" i="7"/>
  <c r="H52" i="7"/>
  <c r="H51" i="7"/>
  <c r="H50" i="7"/>
  <c r="H49" i="7"/>
  <c r="H48" i="7"/>
  <c r="H47" i="7"/>
  <c r="H46" i="7"/>
  <c r="H45" i="7"/>
  <c r="H43" i="7"/>
  <c r="H42" i="7"/>
  <c r="H41" i="7"/>
  <c r="H40" i="7"/>
  <c r="H39" i="7"/>
  <c r="H38" i="7"/>
  <c r="H37" i="7"/>
  <c r="H36" i="7"/>
  <c r="H10" i="7"/>
  <c r="H11" i="7"/>
  <c r="H12" i="7"/>
  <c r="H13" i="7"/>
  <c r="H14" i="7"/>
  <c r="H15" i="7"/>
  <c r="H16" i="7"/>
  <c r="H18" i="7"/>
  <c r="H19" i="7"/>
  <c r="H20" i="7"/>
  <c r="H21" i="7"/>
  <c r="H22" i="7"/>
  <c r="H23" i="7"/>
  <c r="H24" i="7"/>
  <c r="H25" i="7"/>
  <c r="H26" i="7"/>
  <c r="H27" i="7"/>
  <c r="H28" i="7"/>
  <c r="H30" i="7"/>
  <c r="H9" i="7"/>
  <c r="Y14" i="19"/>
  <c r="Y13" i="19"/>
  <c r="Y12" i="19"/>
  <c r="Y11" i="19"/>
  <c r="Y10" i="19"/>
  <c r="Y9" i="19"/>
  <c r="AE15" i="19" l="1"/>
  <c r="Y15" i="19"/>
  <c r="S15" i="19"/>
  <c r="Q15" i="19"/>
  <c r="AG9" i="19"/>
  <c r="I9" i="19"/>
  <c r="AG20" i="19" l="1"/>
  <c r="AE20" i="19"/>
  <c r="AC20" i="19"/>
  <c r="AA20" i="19"/>
  <c r="Y20" i="19"/>
  <c r="W20" i="19"/>
  <c r="U20" i="19"/>
  <c r="S20" i="19"/>
  <c r="Q20" i="19"/>
  <c r="O20" i="19"/>
  <c r="M20" i="19"/>
  <c r="K20" i="19"/>
  <c r="I20" i="19"/>
  <c r="G20" i="19"/>
  <c r="E20" i="19"/>
  <c r="C20" i="19"/>
  <c r="AG19" i="19"/>
  <c r="AE19" i="19"/>
  <c r="AC19" i="19"/>
  <c r="AA19" i="19"/>
  <c r="Y19" i="19"/>
  <c r="W19" i="19"/>
  <c r="U19" i="19"/>
  <c r="S19" i="19"/>
  <c r="Q19" i="19"/>
  <c r="O19" i="19"/>
  <c r="M19" i="19"/>
  <c r="K19" i="19"/>
  <c r="I19" i="19"/>
  <c r="G19" i="19"/>
  <c r="E19" i="19"/>
  <c r="C19" i="19"/>
  <c r="AG18" i="19"/>
  <c r="AE18" i="19"/>
  <c r="AC18" i="19"/>
  <c r="AA18" i="19"/>
  <c r="Y18" i="19"/>
  <c r="W18" i="19"/>
  <c r="U18" i="19"/>
  <c r="S18" i="19"/>
  <c r="Q18" i="19"/>
  <c r="O18" i="19"/>
  <c r="M18" i="19"/>
  <c r="K18" i="19"/>
  <c r="I18" i="19"/>
  <c r="G18" i="19"/>
  <c r="E18" i="19"/>
  <c r="C18" i="19"/>
  <c r="AG17" i="19"/>
  <c r="AE17" i="19"/>
  <c r="AC17" i="19"/>
  <c r="AA17" i="19"/>
  <c r="Y17" i="19"/>
  <c r="W17" i="19"/>
  <c r="U17" i="19"/>
  <c r="S17" i="19"/>
  <c r="Q17" i="19"/>
  <c r="O17" i="19"/>
  <c r="M17" i="19"/>
  <c r="K17" i="19"/>
  <c r="I17" i="19"/>
  <c r="G17" i="19"/>
  <c r="E17" i="19"/>
  <c r="C17" i="19"/>
  <c r="AG16" i="19"/>
  <c r="AE16" i="19"/>
  <c r="AF16" i="19" s="1"/>
  <c r="AC16" i="19"/>
  <c r="AA16" i="19"/>
  <c r="Y16" i="19"/>
  <c r="Z16" i="19" s="1"/>
  <c r="W16" i="19"/>
  <c r="U16" i="19"/>
  <c r="S16" i="19"/>
  <c r="T16" i="19" s="1"/>
  <c r="Q16" i="19"/>
  <c r="R16" i="19" s="1"/>
  <c r="O16" i="19"/>
  <c r="M16" i="19"/>
  <c r="K16" i="19"/>
  <c r="I16" i="19"/>
  <c r="G16" i="19"/>
  <c r="E16" i="19"/>
  <c r="C16" i="19"/>
  <c r="AG15" i="19"/>
  <c r="AC15" i="19"/>
  <c r="AA15" i="19"/>
  <c r="W15" i="19"/>
  <c r="U15" i="19"/>
  <c r="O15" i="19"/>
  <c r="M15" i="19"/>
  <c r="K15" i="19"/>
  <c r="I15" i="19"/>
  <c r="G15" i="19"/>
  <c r="E15" i="19"/>
  <c r="C15" i="19"/>
  <c r="AG14" i="19"/>
  <c r="AE14" i="19"/>
  <c r="AC14" i="19"/>
  <c r="AA14" i="19"/>
  <c r="W14" i="19"/>
  <c r="U14" i="19"/>
  <c r="S14" i="19"/>
  <c r="Q14" i="19"/>
  <c r="O14" i="19"/>
  <c r="M14" i="19"/>
  <c r="N14" i="19" s="1"/>
  <c r="K14" i="19"/>
  <c r="I14" i="19"/>
  <c r="G14" i="19"/>
  <c r="E14" i="19"/>
  <c r="F14" i="19" s="1"/>
  <c r="C14" i="19"/>
  <c r="AG13" i="19"/>
  <c r="AE13" i="19"/>
  <c r="AC13" i="19"/>
  <c r="AD13" i="19" s="1"/>
  <c r="AA13" i="19"/>
  <c r="W13" i="19"/>
  <c r="U13" i="19"/>
  <c r="S13" i="19"/>
  <c r="T13" i="19" s="1"/>
  <c r="Q13" i="19"/>
  <c r="O13" i="19"/>
  <c r="M13" i="19"/>
  <c r="K13" i="19"/>
  <c r="L13" i="19" s="1"/>
  <c r="I13" i="19"/>
  <c r="G13" i="19"/>
  <c r="E13" i="19"/>
  <c r="C13" i="19"/>
  <c r="D13" i="19" s="1"/>
  <c r="AG12" i="19"/>
  <c r="AE12" i="19"/>
  <c r="AC12" i="19"/>
  <c r="AA12" i="19"/>
  <c r="AB12" i="19" s="1"/>
  <c r="W12" i="19"/>
  <c r="U12" i="19"/>
  <c r="S12" i="19"/>
  <c r="Q12" i="19"/>
  <c r="R12" i="19" s="1"/>
  <c r="O12" i="19"/>
  <c r="M12" i="19"/>
  <c r="K12" i="19"/>
  <c r="I12" i="19"/>
  <c r="J12" i="19" s="1"/>
  <c r="G12" i="19"/>
  <c r="E12" i="19"/>
  <c r="C12" i="19"/>
  <c r="AG11" i="19"/>
  <c r="AE11" i="19"/>
  <c r="AC11" i="19"/>
  <c r="AA11" i="19"/>
  <c r="W11" i="19"/>
  <c r="U11" i="19"/>
  <c r="S11" i="19"/>
  <c r="Q11" i="19"/>
  <c r="O11" i="19"/>
  <c r="P11" i="19" s="1"/>
  <c r="M11" i="19"/>
  <c r="K11" i="19"/>
  <c r="I11" i="19"/>
  <c r="G11" i="19"/>
  <c r="H11" i="19" s="1"/>
  <c r="E11" i="19"/>
  <c r="C11" i="19"/>
  <c r="AG10" i="19"/>
  <c r="AE10" i="19"/>
  <c r="AC10" i="19"/>
  <c r="AA10" i="19"/>
  <c r="W10" i="19"/>
  <c r="U10" i="19"/>
  <c r="S10" i="19"/>
  <c r="Q10" i="19"/>
  <c r="O10" i="19"/>
  <c r="M10" i="19"/>
  <c r="K10" i="19"/>
  <c r="I10" i="19"/>
  <c r="J10" i="19" s="1"/>
  <c r="G10" i="19"/>
  <c r="E10" i="19"/>
  <c r="F10" i="19" s="1"/>
  <c r="C10" i="19"/>
  <c r="AE9" i="19"/>
  <c r="AC9" i="19"/>
  <c r="AA9" i="19"/>
  <c r="W9" i="19"/>
  <c r="U9" i="19"/>
  <c r="S9" i="19"/>
  <c r="Q9" i="19"/>
  <c r="O9" i="19"/>
  <c r="M9" i="19"/>
  <c r="K9" i="19"/>
  <c r="G9" i="19"/>
  <c r="E9" i="19"/>
  <c r="C9" i="19"/>
  <c r="V14" i="19" l="1"/>
  <c r="D11" i="19"/>
  <c r="T11" i="19"/>
  <c r="F12" i="19"/>
  <c r="V12" i="19"/>
  <c r="H13" i="19"/>
  <c r="J14" i="19"/>
  <c r="AB14" i="19"/>
  <c r="L11" i="19"/>
  <c r="AD11" i="19"/>
  <c r="N12" i="19"/>
  <c r="P13" i="19"/>
  <c r="R14" i="19"/>
  <c r="N10" i="19"/>
  <c r="V10" i="19"/>
  <c r="X16" i="19"/>
  <c r="D17" i="19"/>
  <c r="H17" i="19"/>
  <c r="L17" i="19"/>
  <c r="P17" i="19"/>
  <c r="T17" i="19"/>
  <c r="X17" i="19"/>
  <c r="AB17" i="19"/>
  <c r="AF17" i="19"/>
  <c r="D18" i="19"/>
  <c r="H18" i="19"/>
  <c r="L18" i="19"/>
  <c r="P18" i="19"/>
  <c r="T18" i="19"/>
  <c r="X18" i="19"/>
  <c r="AB18" i="19"/>
  <c r="AF18" i="19"/>
  <c r="D19" i="19"/>
  <c r="H19" i="19"/>
  <c r="L19" i="19"/>
  <c r="P19" i="19"/>
  <c r="T19" i="19"/>
  <c r="X19" i="19"/>
  <c r="AB19" i="19"/>
  <c r="AF19" i="19"/>
  <c r="D20" i="19"/>
  <c r="H20" i="19"/>
  <c r="L20" i="19"/>
  <c r="P20" i="19"/>
  <c r="T20" i="19"/>
  <c r="X20" i="19"/>
  <c r="AB20" i="19"/>
  <c r="AF20" i="19"/>
  <c r="P10" i="19"/>
  <c r="F11" i="19"/>
  <c r="J11" i="19"/>
  <c r="N11" i="19"/>
  <c r="R11" i="19"/>
  <c r="V11" i="19"/>
  <c r="AB11" i="19"/>
  <c r="D12" i="19"/>
  <c r="H12" i="19"/>
  <c r="L12" i="19"/>
  <c r="P12" i="19"/>
  <c r="T12" i="19"/>
  <c r="AD12" i="19"/>
  <c r="F13" i="19"/>
  <c r="J13" i="19"/>
  <c r="N13" i="19"/>
  <c r="R13" i="19"/>
  <c r="V13" i="19"/>
  <c r="AB13" i="19"/>
  <c r="D14" i="19"/>
  <c r="H14" i="19"/>
  <c r="L14" i="19"/>
  <c r="P14" i="19"/>
  <c r="T14" i="19"/>
  <c r="AD14" i="19"/>
  <c r="F17" i="19"/>
  <c r="J17" i="19"/>
  <c r="N17" i="19"/>
  <c r="R17" i="19"/>
  <c r="V17" i="19"/>
  <c r="Z17" i="19"/>
  <c r="AD17" i="19"/>
  <c r="AH17" i="19"/>
  <c r="F18" i="19"/>
  <c r="J18" i="19"/>
  <c r="N18" i="19"/>
  <c r="R18" i="19"/>
  <c r="V18" i="19"/>
  <c r="Z18" i="19"/>
  <c r="AD18" i="19"/>
  <c r="AH18" i="19"/>
  <c r="F19" i="19"/>
  <c r="J19" i="19"/>
  <c r="N19" i="19"/>
  <c r="R19" i="19"/>
  <c r="V19" i="19"/>
  <c r="Z19" i="19"/>
  <c r="AD19" i="19"/>
  <c r="AH19" i="19"/>
  <c r="F20" i="19"/>
  <c r="J20" i="19"/>
  <c r="N20" i="19"/>
  <c r="R20" i="19"/>
  <c r="V20" i="19"/>
  <c r="Z20" i="19"/>
  <c r="AD20" i="19"/>
  <c r="AH20" i="19"/>
  <c r="D16" i="19"/>
  <c r="L16" i="19"/>
  <c r="AB16" i="19"/>
  <c r="H16" i="19"/>
  <c r="P16" i="19"/>
  <c r="J16" i="19"/>
  <c r="AH16" i="19"/>
  <c r="F16" i="19"/>
  <c r="N16" i="19"/>
  <c r="V16" i="19"/>
  <c r="AD16" i="19"/>
  <c r="R10" i="19"/>
  <c r="AB10" i="19"/>
  <c r="H10" i="19"/>
  <c r="D10" i="19"/>
  <c r="L10" i="19"/>
  <c r="T10" i="19"/>
  <c r="AD10" i="19"/>
  <c r="X14" i="19"/>
  <c r="AF14" i="19"/>
  <c r="Z14" i="19"/>
  <c r="AH14" i="19"/>
  <c r="Z13" i="19"/>
  <c r="AH13" i="19"/>
  <c r="X13" i="19"/>
  <c r="AF13" i="19"/>
  <c r="Z12" i="19"/>
  <c r="AH12" i="19"/>
  <c r="X12" i="19"/>
  <c r="AF12" i="19"/>
  <c r="Z11" i="19"/>
  <c r="X11" i="19"/>
  <c r="AF11" i="19"/>
  <c r="AH11" i="19"/>
  <c r="AH10" i="19"/>
  <c r="X10" i="19"/>
  <c r="AF10" i="19"/>
  <c r="Z10" i="19"/>
  <c r="F29" i="22" l="1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AG47" i="56"/>
  <c r="AF47" i="56"/>
  <c r="AE47" i="56"/>
  <c r="AD47" i="56"/>
  <c r="AC47" i="56"/>
  <c r="AB47" i="56"/>
  <c r="AA47" i="56"/>
  <c r="Z47" i="56"/>
  <c r="Y47" i="56"/>
  <c r="X47" i="56"/>
  <c r="W47" i="56"/>
  <c r="V47" i="56"/>
  <c r="U47" i="56"/>
  <c r="U12" i="54"/>
  <c r="T12" i="54"/>
  <c r="U11" i="54"/>
  <c r="T11" i="54"/>
  <c r="U10" i="54"/>
  <c r="T10" i="54"/>
  <c r="U9" i="54"/>
  <c r="T9" i="54"/>
  <c r="U8" i="54"/>
  <c r="T8" i="54"/>
  <c r="U35" i="39"/>
  <c r="S35" i="39"/>
  <c r="R35" i="39"/>
  <c r="E23" i="64" l="1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N55" i="33" l="1"/>
  <c r="V27" i="33"/>
  <c r="V39" i="33"/>
  <c r="U39" i="33"/>
  <c r="N39" i="33"/>
  <c r="Q39" i="33"/>
  <c r="N49" i="33"/>
  <c r="F34" i="33"/>
  <c r="F33" i="33"/>
  <c r="Q27" i="33"/>
  <c r="N27" i="33"/>
  <c r="S33" i="33"/>
  <c r="S21" i="33" s="1"/>
  <c r="S16" i="33" s="1"/>
  <c r="L33" i="33"/>
  <c r="L21" i="33" s="1"/>
  <c r="L11" i="33" s="1"/>
  <c r="S55" i="33" l="1"/>
  <c r="U55" i="33" s="1"/>
  <c r="L16" i="33"/>
  <c r="L79" i="24" l="1"/>
  <c r="K79" i="24"/>
  <c r="J79" i="24"/>
  <c r="I79" i="24"/>
  <c r="H79" i="24"/>
  <c r="G79" i="24"/>
  <c r="F79" i="24"/>
  <c r="E79" i="24"/>
  <c r="L78" i="24"/>
  <c r="K78" i="24"/>
  <c r="J78" i="24"/>
  <c r="I78" i="24"/>
  <c r="H78" i="24"/>
  <c r="G78" i="24"/>
  <c r="F78" i="24"/>
  <c r="E78" i="24"/>
  <c r="L76" i="24"/>
  <c r="K76" i="24"/>
  <c r="J76" i="24"/>
  <c r="I76" i="24"/>
  <c r="H76" i="24"/>
  <c r="G76" i="24"/>
  <c r="F76" i="24"/>
  <c r="E76" i="24"/>
  <c r="L75" i="24"/>
  <c r="K75" i="24"/>
  <c r="J75" i="24"/>
  <c r="I75" i="24"/>
  <c r="H75" i="24"/>
  <c r="G75" i="24"/>
  <c r="F75" i="24"/>
  <c r="E75" i="24"/>
  <c r="L73" i="24"/>
  <c r="K73" i="24"/>
  <c r="J73" i="24"/>
  <c r="I73" i="24"/>
  <c r="H73" i="24"/>
  <c r="G73" i="24"/>
  <c r="F73" i="24"/>
  <c r="E73" i="24"/>
  <c r="L72" i="24"/>
  <c r="K72" i="24"/>
  <c r="J72" i="24"/>
  <c r="I72" i="24"/>
  <c r="H72" i="24"/>
  <c r="G72" i="24"/>
  <c r="F72" i="24"/>
  <c r="E72" i="24"/>
  <c r="L70" i="24"/>
  <c r="K70" i="24"/>
  <c r="J70" i="24"/>
  <c r="I70" i="24"/>
  <c r="H70" i="24"/>
  <c r="G70" i="24"/>
  <c r="F70" i="24"/>
  <c r="E70" i="24"/>
  <c r="L69" i="24"/>
  <c r="K69" i="24"/>
  <c r="J69" i="24"/>
  <c r="I69" i="24"/>
  <c r="H69" i="24"/>
  <c r="G69" i="24"/>
  <c r="F69" i="24"/>
  <c r="E69" i="24"/>
  <c r="L67" i="24"/>
  <c r="K67" i="24"/>
  <c r="J67" i="24"/>
  <c r="I67" i="24"/>
  <c r="H67" i="24"/>
  <c r="G67" i="24"/>
  <c r="F67" i="24"/>
  <c r="E67" i="24"/>
  <c r="L66" i="24"/>
  <c r="K66" i="24"/>
  <c r="J66" i="24"/>
  <c r="I66" i="24"/>
  <c r="H66" i="24"/>
  <c r="G66" i="24"/>
  <c r="F66" i="24"/>
  <c r="E66" i="24"/>
  <c r="L59" i="24"/>
  <c r="K59" i="24"/>
  <c r="J59" i="24"/>
  <c r="I59" i="24"/>
  <c r="H59" i="24"/>
  <c r="G59" i="24"/>
  <c r="F59" i="24"/>
  <c r="E59" i="24"/>
  <c r="L58" i="24"/>
  <c r="K58" i="24"/>
  <c r="J58" i="24"/>
  <c r="I58" i="24"/>
  <c r="H58" i="24"/>
  <c r="G58" i="24"/>
  <c r="F58" i="24"/>
  <c r="E58" i="24"/>
  <c r="L56" i="24"/>
  <c r="K56" i="24"/>
  <c r="J56" i="24"/>
  <c r="I56" i="24"/>
  <c r="H56" i="24"/>
  <c r="G56" i="24"/>
  <c r="F56" i="24"/>
  <c r="E56" i="24"/>
  <c r="L55" i="24"/>
  <c r="K55" i="24"/>
  <c r="J55" i="24"/>
  <c r="I55" i="24"/>
  <c r="H55" i="24"/>
  <c r="G55" i="24"/>
  <c r="F55" i="24"/>
  <c r="E55" i="24"/>
  <c r="L53" i="24"/>
  <c r="K53" i="24"/>
  <c r="J53" i="24"/>
  <c r="I53" i="24"/>
  <c r="H53" i="24"/>
  <c r="G53" i="24"/>
  <c r="F53" i="24"/>
  <c r="E53" i="24"/>
  <c r="L52" i="24"/>
  <c r="K52" i="24"/>
  <c r="J52" i="24"/>
  <c r="I52" i="24"/>
  <c r="H52" i="24"/>
  <c r="G52" i="24"/>
  <c r="F52" i="24"/>
  <c r="E52" i="24"/>
  <c r="L50" i="24"/>
  <c r="K50" i="24"/>
  <c r="J50" i="24"/>
  <c r="I50" i="24"/>
  <c r="H50" i="24"/>
  <c r="G50" i="24"/>
  <c r="F50" i="24"/>
  <c r="E50" i="24"/>
  <c r="L49" i="24"/>
  <c r="K49" i="24"/>
  <c r="J49" i="24"/>
  <c r="I49" i="24"/>
  <c r="H49" i="24"/>
  <c r="G49" i="24"/>
  <c r="F49" i="24"/>
  <c r="E49" i="24"/>
  <c r="L47" i="24"/>
  <c r="K47" i="24"/>
  <c r="J47" i="24"/>
  <c r="I47" i="24"/>
  <c r="H47" i="24"/>
  <c r="G47" i="24"/>
  <c r="F47" i="24"/>
  <c r="E47" i="24"/>
  <c r="L46" i="24"/>
  <c r="K46" i="24"/>
  <c r="J46" i="24"/>
  <c r="I46" i="24"/>
  <c r="H46" i="24"/>
  <c r="G46" i="24"/>
  <c r="F46" i="24"/>
  <c r="E46" i="24"/>
  <c r="L39" i="24"/>
  <c r="K39" i="24"/>
  <c r="J39" i="24"/>
  <c r="I39" i="24"/>
  <c r="H39" i="24"/>
  <c r="G39" i="24"/>
  <c r="F39" i="24"/>
  <c r="E39" i="24"/>
  <c r="L38" i="24"/>
  <c r="K38" i="24"/>
  <c r="J38" i="24"/>
  <c r="I38" i="24"/>
  <c r="H38" i="24"/>
  <c r="G38" i="24"/>
  <c r="F38" i="24"/>
  <c r="E38" i="24"/>
  <c r="L36" i="24"/>
  <c r="K36" i="24"/>
  <c r="J36" i="24"/>
  <c r="I36" i="24"/>
  <c r="H36" i="24"/>
  <c r="G36" i="24"/>
  <c r="F36" i="24"/>
  <c r="E36" i="24"/>
  <c r="L35" i="24"/>
  <c r="K35" i="24"/>
  <c r="J35" i="24"/>
  <c r="I35" i="24"/>
  <c r="H35" i="24"/>
  <c r="G35" i="24"/>
  <c r="F35" i="24"/>
  <c r="E35" i="24"/>
  <c r="L33" i="24"/>
  <c r="K33" i="24"/>
  <c r="J33" i="24"/>
  <c r="I33" i="24"/>
  <c r="H33" i="24"/>
  <c r="G33" i="24"/>
  <c r="F33" i="24"/>
  <c r="E33" i="24"/>
  <c r="L32" i="24"/>
  <c r="K32" i="24"/>
  <c r="J32" i="24"/>
  <c r="I32" i="24"/>
  <c r="H32" i="24"/>
  <c r="G32" i="24"/>
  <c r="F32" i="24"/>
  <c r="E32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7" i="24"/>
  <c r="K27" i="24"/>
  <c r="J27" i="24"/>
  <c r="I27" i="24"/>
  <c r="H27" i="24"/>
  <c r="G27" i="24"/>
  <c r="F27" i="24"/>
  <c r="E27" i="24"/>
  <c r="L26" i="24"/>
  <c r="K26" i="24"/>
  <c r="J26" i="24"/>
  <c r="I26" i="24"/>
  <c r="H26" i="24"/>
  <c r="G26" i="24"/>
  <c r="F26" i="24"/>
  <c r="E26" i="24"/>
  <c r="L19" i="24"/>
  <c r="K19" i="24"/>
  <c r="J19" i="24"/>
  <c r="I19" i="24"/>
  <c r="H19" i="24"/>
  <c r="G19" i="24"/>
  <c r="F19" i="24"/>
  <c r="E19" i="24"/>
  <c r="L16" i="24"/>
  <c r="K16" i="24"/>
  <c r="J16" i="24"/>
  <c r="I16" i="24"/>
  <c r="H16" i="24"/>
  <c r="G16" i="24"/>
  <c r="F16" i="24"/>
  <c r="E16" i="24"/>
  <c r="L13" i="24"/>
  <c r="K13" i="24"/>
  <c r="J13" i="24"/>
  <c r="I13" i="24"/>
  <c r="H13" i="24"/>
  <c r="G13" i="24"/>
  <c r="F13" i="24"/>
  <c r="E13" i="24"/>
  <c r="L10" i="24"/>
  <c r="K10" i="24"/>
  <c r="J10" i="24"/>
  <c r="I10" i="24"/>
  <c r="H10" i="24"/>
  <c r="G10" i="24"/>
  <c r="F10" i="24"/>
  <c r="E10" i="24"/>
  <c r="F7" i="24"/>
  <c r="G7" i="24"/>
  <c r="H7" i="24"/>
  <c r="I7" i="24"/>
  <c r="J7" i="24"/>
  <c r="K7" i="24"/>
  <c r="L7" i="24"/>
  <c r="E7" i="24"/>
  <c r="L18" i="24"/>
  <c r="K18" i="24"/>
  <c r="J18" i="24"/>
  <c r="I18" i="24"/>
  <c r="H18" i="24"/>
  <c r="G18" i="24"/>
  <c r="F18" i="24"/>
  <c r="E18" i="24"/>
  <c r="L15" i="24"/>
  <c r="K15" i="24"/>
  <c r="J15" i="24"/>
  <c r="I15" i="24"/>
  <c r="H15" i="24"/>
  <c r="G15" i="24"/>
  <c r="F15" i="24"/>
  <c r="E15" i="24"/>
  <c r="L12" i="24"/>
  <c r="K12" i="24"/>
  <c r="J12" i="24"/>
  <c r="I12" i="24"/>
  <c r="H12" i="24"/>
  <c r="G12" i="24"/>
  <c r="F12" i="24"/>
  <c r="E12" i="24"/>
  <c r="L9" i="24"/>
  <c r="K9" i="24"/>
  <c r="J9" i="24"/>
  <c r="I9" i="24"/>
  <c r="H9" i="24"/>
  <c r="G9" i="24"/>
  <c r="F9" i="24"/>
  <c r="E9" i="24"/>
  <c r="F6" i="24"/>
  <c r="G6" i="24"/>
  <c r="H6" i="24"/>
  <c r="I6" i="24"/>
  <c r="J6" i="24"/>
  <c r="K6" i="24"/>
  <c r="L6" i="24"/>
  <c r="E6" i="24"/>
  <c r="L40" i="24" l="1"/>
  <c r="K40" i="24"/>
  <c r="J40" i="24"/>
  <c r="I40" i="24"/>
  <c r="H40" i="24"/>
  <c r="G40" i="24"/>
  <c r="F40" i="24"/>
  <c r="E40" i="24"/>
  <c r="L37" i="24"/>
  <c r="K37" i="24"/>
  <c r="J37" i="24"/>
  <c r="I37" i="24"/>
  <c r="H37" i="24"/>
  <c r="G37" i="24"/>
  <c r="F37" i="24"/>
  <c r="E37" i="24"/>
  <c r="L34" i="24"/>
  <c r="K34" i="24"/>
  <c r="J34" i="24"/>
  <c r="I34" i="24"/>
  <c r="H34" i="24"/>
  <c r="G34" i="24"/>
  <c r="F34" i="24"/>
  <c r="E34" i="24"/>
  <c r="L31" i="24"/>
  <c r="K31" i="24"/>
  <c r="J31" i="24"/>
  <c r="I31" i="24"/>
  <c r="H31" i="24"/>
  <c r="G31" i="24"/>
  <c r="F31" i="24"/>
  <c r="E31" i="24"/>
  <c r="L28" i="24"/>
  <c r="K28" i="24"/>
  <c r="J28" i="24"/>
  <c r="I28" i="24"/>
  <c r="H28" i="24"/>
  <c r="G28" i="24"/>
  <c r="F28" i="24"/>
  <c r="E28" i="24"/>
  <c r="L80" i="24"/>
  <c r="K80" i="24"/>
  <c r="J80" i="24"/>
  <c r="I80" i="24"/>
  <c r="H80" i="24"/>
  <c r="G80" i="24"/>
  <c r="F80" i="24"/>
  <c r="E80" i="24"/>
  <c r="L77" i="24"/>
  <c r="K77" i="24"/>
  <c r="J77" i="24"/>
  <c r="I77" i="24"/>
  <c r="H77" i="24"/>
  <c r="G77" i="24"/>
  <c r="F77" i="24"/>
  <c r="E77" i="24"/>
  <c r="L74" i="24"/>
  <c r="K74" i="24"/>
  <c r="J74" i="24"/>
  <c r="I74" i="24"/>
  <c r="H74" i="24"/>
  <c r="G74" i="24"/>
  <c r="F74" i="24"/>
  <c r="E74" i="24"/>
  <c r="L71" i="24"/>
  <c r="K71" i="24"/>
  <c r="J71" i="24"/>
  <c r="I71" i="24"/>
  <c r="H71" i="24"/>
  <c r="G71" i="24"/>
  <c r="F71" i="24"/>
  <c r="E71" i="24"/>
  <c r="L68" i="24"/>
  <c r="K68" i="24"/>
  <c r="J68" i="24"/>
  <c r="I68" i="24"/>
  <c r="H68" i="24"/>
  <c r="G68" i="24"/>
  <c r="F68" i="24"/>
  <c r="E68" i="24"/>
  <c r="E20" i="24"/>
  <c r="F20" i="24"/>
  <c r="H20" i="24"/>
  <c r="G20" i="24"/>
  <c r="I20" i="24"/>
  <c r="J20" i="24"/>
  <c r="K20" i="24"/>
  <c r="L20" i="24"/>
  <c r="E8" i="24"/>
  <c r="E17" i="24"/>
  <c r="E11" i="24"/>
  <c r="M29" i="59"/>
  <c r="L29" i="59"/>
  <c r="K29" i="59"/>
  <c r="J29" i="59"/>
  <c r="I29" i="59"/>
  <c r="H29" i="59"/>
  <c r="G29" i="59"/>
  <c r="F29" i="59"/>
  <c r="E29" i="59"/>
  <c r="M27" i="59"/>
  <c r="L27" i="59"/>
  <c r="K27" i="59"/>
  <c r="J27" i="59"/>
  <c r="I27" i="59"/>
  <c r="H27" i="59"/>
  <c r="G27" i="59"/>
  <c r="F27" i="59"/>
  <c r="E27" i="59"/>
  <c r="M24" i="59"/>
  <c r="L24" i="59"/>
  <c r="K24" i="59"/>
  <c r="J24" i="59"/>
  <c r="I24" i="59"/>
  <c r="I25" i="59" s="1"/>
  <c r="H24" i="59"/>
  <c r="G24" i="59"/>
  <c r="F24" i="59"/>
  <c r="E24" i="59"/>
  <c r="M22" i="59"/>
  <c r="L22" i="59"/>
  <c r="K22" i="59"/>
  <c r="J22" i="59"/>
  <c r="I22" i="59"/>
  <c r="H22" i="59"/>
  <c r="G22" i="59"/>
  <c r="F22" i="59"/>
  <c r="E22" i="59"/>
  <c r="M17" i="59"/>
  <c r="L17" i="59"/>
  <c r="K17" i="59"/>
  <c r="J17" i="59"/>
  <c r="I17" i="59"/>
  <c r="H17" i="59"/>
  <c r="G17" i="59"/>
  <c r="F17" i="59"/>
  <c r="E17" i="59"/>
  <c r="M19" i="59"/>
  <c r="L19" i="59"/>
  <c r="L20" i="59" s="1"/>
  <c r="K19" i="59"/>
  <c r="J19" i="59"/>
  <c r="I19" i="59"/>
  <c r="H19" i="59"/>
  <c r="G19" i="59"/>
  <c r="F19" i="59"/>
  <c r="E19" i="59"/>
  <c r="M14" i="59"/>
  <c r="L14" i="59"/>
  <c r="K14" i="59"/>
  <c r="J14" i="59"/>
  <c r="I14" i="59"/>
  <c r="H14" i="59"/>
  <c r="G14" i="59"/>
  <c r="F14" i="59"/>
  <c r="E14" i="59"/>
  <c r="M9" i="59"/>
  <c r="L9" i="59"/>
  <c r="K9" i="59"/>
  <c r="J9" i="59"/>
  <c r="I9" i="59"/>
  <c r="H9" i="59"/>
  <c r="G9" i="59"/>
  <c r="F9" i="59"/>
  <c r="E9" i="59"/>
  <c r="M12" i="59"/>
  <c r="L12" i="59"/>
  <c r="K12" i="59"/>
  <c r="J12" i="59"/>
  <c r="I12" i="59"/>
  <c r="H12" i="59"/>
  <c r="G12" i="59"/>
  <c r="F12" i="59"/>
  <c r="E12" i="59"/>
  <c r="M7" i="59"/>
  <c r="L7" i="59"/>
  <c r="K7" i="59"/>
  <c r="J7" i="59"/>
  <c r="I7" i="59"/>
  <c r="H7" i="59"/>
  <c r="G7" i="59"/>
  <c r="F7" i="59"/>
  <c r="E7" i="59"/>
  <c r="D29" i="22"/>
  <c r="E29" i="22" s="1"/>
  <c r="D28" i="22"/>
  <c r="D27" i="22"/>
  <c r="E28" i="22" s="1"/>
  <c r="D26" i="22"/>
  <c r="D25" i="22"/>
  <c r="D24" i="22"/>
  <c r="H24" i="22" s="1"/>
  <c r="D23" i="22"/>
  <c r="H23" i="22" s="1"/>
  <c r="D22" i="22"/>
  <c r="D21" i="22"/>
  <c r="H21" i="22" s="1"/>
  <c r="I21" i="22" s="1"/>
  <c r="D20" i="22"/>
  <c r="D19" i="22"/>
  <c r="H19" i="22" s="1"/>
  <c r="D18" i="22"/>
  <c r="D17" i="22"/>
  <c r="D16" i="22"/>
  <c r="D15" i="22"/>
  <c r="D14" i="22"/>
  <c r="G27" i="22"/>
  <c r="G15" i="22"/>
  <c r="D13" i="22"/>
  <c r="H13" i="22" s="1"/>
  <c r="D12" i="22"/>
  <c r="H12" i="22" s="1"/>
  <c r="D10" i="22"/>
  <c r="D11" i="22"/>
  <c r="H11" i="22" s="1"/>
  <c r="H28" i="22"/>
  <c r="H25" i="22"/>
  <c r="H20" i="22"/>
  <c r="H17" i="22"/>
  <c r="H16" i="22"/>
  <c r="H15" i="22"/>
  <c r="G29" i="22"/>
  <c r="G28" i="22"/>
  <c r="G25" i="22"/>
  <c r="G24" i="22"/>
  <c r="G21" i="22"/>
  <c r="G20" i="22"/>
  <c r="G17" i="22"/>
  <c r="G16" i="22"/>
  <c r="G13" i="22"/>
  <c r="C10" i="56"/>
  <c r="V46" i="56"/>
  <c r="W46" i="56"/>
  <c r="X46" i="56"/>
  <c r="Y46" i="56"/>
  <c r="Z46" i="56"/>
  <c r="L46" i="56" s="1"/>
  <c r="AA46" i="56"/>
  <c r="AB46" i="56"/>
  <c r="AC46" i="56"/>
  <c r="AD46" i="56"/>
  <c r="AE46" i="56"/>
  <c r="AF46" i="56"/>
  <c r="N46" i="56" s="1"/>
  <c r="AG46" i="56"/>
  <c r="U46" i="56"/>
  <c r="E20" i="22" l="1"/>
  <c r="H27" i="22"/>
  <c r="E15" i="22"/>
  <c r="G20" i="59"/>
  <c r="E17" i="22"/>
  <c r="I24" i="22"/>
  <c r="E19" i="22"/>
  <c r="E27" i="22"/>
  <c r="K20" i="59"/>
  <c r="E23" i="22"/>
  <c r="I20" i="22"/>
  <c r="H29" i="22"/>
  <c r="H20" i="59"/>
  <c r="E21" i="22"/>
  <c r="I46" i="56"/>
  <c r="E12" i="22"/>
  <c r="E24" i="22"/>
  <c r="J20" i="59"/>
  <c r="E25" i="22"/>
  <c r="E16" i="22"/>
  <c r="I13" i="22"/>
  <c r="E13" i="22"/>
  <c r="G46" i="56"/>
  <c r="I20" i="59"/>
  <c r="G25" i="59"/>
  <c r="K25" i="59"/>
  <c r="J46" i="56"/>
  <c r="M46" i="56"/>
  <c r="H46" i="56"/>
  <c r="K46" i="56"/>
  <c r="O46" i="56"/>
  <c r="C46" i="56"/>
  <c r="R46" i="56"/>
  <c r="F46" i="56"/>
  <c r="Q46" i="56"/>
  <c r="E46" i="56"/>
  <c r="P46" i="56"/>
  <c r="D46" i="56"/>
  <c r="I25" i="22"/>
  <c r="I17" i="22"/>
  <c r="I29" i="22"/>
  <c r="H25" i="59"/>
  <c r="L25" i="59"/>
  <c r="E15" i="59"/>
  <c r="E25" i="59"/>
  <c r="M25" i="59"/>
  <c r="E20" i="59"/>
  <c r="M20" i="59"/>
  <c r="F20" i="59"/>
  <c r="F25" i="59"/>
  <c r="J25" i="59"/>
  <c r="F15" i="59"/>
  <c r="E10" i="59"/>
  <c r="H10" i="22"/>
  <c r="I11" i="22" s="1"/>
  <c r="G11" i="22"/>
  <c r="I28" i="22"/>
  <c r="H22" i="22"/>
  <c r="I23" i="22" s="1"/>
  <c r="H18" i="22"/>
  <c r="I19" i="22" s="1"/>
  <c r="H26" i="22"/>
  <c r="I27" i="22" s="1"/>
  <c r="G23" i="22"/>
  <c r="G19" i="22"/>
  <c r="H14" i="22"/>
  <c r="I15" i="22" s="1"/>
  <c r="G12" i="22"/>
  <c r="I12" i="22"/>
  <c r="E11" i="22"/>
  <c r="I16" i="22"/>
  <c r="X19" i="54" l="1"/>
  <c r="W19" i="54"/>
  <c r="X18" i="54"/>
  <c r="W18" i="54"/>
  <c r="X17" i="54"/>
  <c r="W17" i="54"/>
  <c r="X16" i="54"/>
  <c r="W16" i="54"/>
  <c r="X15" i="54"/>
  <c r="W15" i="54"/>
  <c r="R12" i="54"/>
  <c r="Q12" i="54"/>
  <c r="R11" i="54"/>
  <c r="Q11" i="54"/>
  <c r="R10" i="54"/>
  <c r="Q10" i="54"/>
  <c r="R9" i="54"/>
  <c r="Q9" i="54"/>
  <c r="R8" i="54"/>
  <c r="Q8" i="54"/>
  <c r="Q12" i="53"/>
  <c r="Q11" i="53"/>
  <c r="U19" i="53"/>
  <c r="T19" i="53"/>
  <c r="U18" i="53"/>
  <c r="T18" i="53"/>
  <c r="U17" i="53"/>
  <c r="T17" i="53"/>
  <c r="U16" i="53"/>
  <c r="T16" i="53"/>
  <c r="U15" i="53"/>
  <c r="T15" i="53"/>
  <c r="R19" i="53"/>
  <c r="Q19" i="53"/>
  <c r="R18" i="53"/>
  <c r="Q18" i="53"/>
  <c r="R17" i="53"/>
  <c r="Q17" i="53"/>
  <c r="R16" i="53"/>
  <c r="Q16" i="53"/>
  <c r="R15" i="53"/>
  <c r="Q15" i="53"/>
  <c r="U12" i="53"/>
  <c r="T12" i="53"/>
  <c r="U11" i="53"/>
  <c r="T11" i="53"/>
  <c r="U10" i="53"/>
  <c r="T10" i="53"/>
  <c r="U9" i="53"/>
  <c r="T9" i="53"/>
  <c r="U8" i="53"/>
  <c r="T8" i="53"/>
  <c r="R12" i="53"/>
  <c r="R11" i="53"/>
  <c r="R10" i="53"/>
  <c r="Q10" i="53"/>
  <c r="R9" i="53"/>
  <c r="Q9" i="53"/>
  <c r="R8" i="53"/>
  <c r="Q8" i="53"/>
  <c r="Q15" i="54" l="1"/>
  <c r="T15" i="54"/>
  <c r="Q16" i="54"/>
  <c r="T16" i="54"/>
  <c r="Q17" i="54"/>
  <c r="T17" i="54"/>
  <c r="Q18" i="54"/>
  <c r="T18" i="54"/>
  <c r="Q19" i="54"/>
  <c r="T19" i="54"/>
  <c r="R15" i="54"/>
  <c r="U15" i="54"/>
  <c r="R16" i="54"/>
  <c r="U16" i="54"/>
  <c r="R17" i="54"/>
  <c r="U17" i="54"/>
  <c r="R18" i="54"/>
  <c r="U18" i="54"/>
  <c r="R19" i="54"/>
  <c r="U19" i="54"/>
  <c r="U19" i="52"/>
  <c r="U18" i="52"/>
  <c r="U17" i="52"/>
  <c r="U16" i="52"/>
  <c r="U15" i="52"/>
  <c r="T16" i="52"/>
  <c r="T17" i="52"/>
  <c r="T18" i="52"/>
  <c r="T19" i="52"/>
  <c r="T15" i="52"/>
  <c r="R15" i="52"/>
  <c r="R16" i="52"/>
  <c r="R17" i="52"/>
  <c r="R18" i="52"/>
  <c r="R19" i="52"/>
  <c r="Q16" i="52"/>
  <c r="Q17" i="52"/>
  <c r="Q18" i="52"/>
  <c r="Q19" i="52"/>
  <c r="Q15" i="52"/>
  <c r="U9" i="52"/>
  <c r="U10" i="52"/>
  <c r="U11" i="52"/>
  <c r="U12" i="52"/>
  <c r="U8" i="52"/>
  <c r="T9" i="52"/>
  <c r="T10" i="52"/>
  <c r="T11" i="52"/>
  <c r="T12" i="52"/>
  <c r="T8" i="52"/>
  <c r="R8" i="52"/>
  <c r="R9" i="52"/>
  <c r="R10" i="52"/>
  <c r="R11" i="52"/>
  <c r="R12" i="52"/>
  <c r="Q9" i="52"/>
  <c r="Q10" i="52"/>
  <c r="Q11" i="52"/>
  <c r="Q12" i="52"/>
  <c r="Q8" i="52"/>
  <c r="Q11" i="51"/>
  <c r="U12" i="51"/>
  <c r="U13" i="51"/>
  <c r="U14" i="51"/>
  <c r="U15" i="51"/>
  <c r="AA30" i="51" s="1"/>
  <c r="U11" i="51"/>
  <c r="T12" i="51"/>
  <c r="T13" i="51"/>
  <c r="T14" i="51"/>
  <c r="T15" i="51"/>
  <c r="T11" i="51"/>
  <c r="R12" i="51"/>
  <c r="R13" i="51"/>
  <c r="R14" i="51"/>
  <c r="R15" i="51"/>
  <c r="Y30" i="51" s="1"/>
  <c r="R11" i="51"/>
  <c r="Q12" i="51"/>
  <c r="Q13" i="51"/>
  <c r="Q14" i="51"/>
  <c r="Q15" i="51"/>
  <c r="Y26" i="51" s="1"/>
  <c r="W19" i="51"/>
  <c r="T19" i="51" s="1"/>
  <c r="X19" i="51"/>
  <c r="U19" i="51" s="1"/>
  <c r="W20" i="51"/>
  <c r="T20" i="51" s="1"/>
  <c r="X20" i="51"/>
  <c r="U20" i="51" s="1"/>
  <c r="W21" i="51"/>
  <c r="Q21" i="51" s="1"/>
  <c r="X21" i="51"/>
  <c r="U21" i="51" s="1"/>
  <c r="W22" i="51"/>
  <c r="T22" i="51" s="1"/>
  <c r="AB26" i="51" s="1"/>
  <c r="X22" i="51"/>
  <c r="U22" i="51" s="1"/>
  <c r="X18" i="51"/>
  <c r="U18" i="51" s="1"/>
  <c r="W18" i="51"/>
  <c r="T18" i="51" s="1"/>
  <c r="J53" i="14"/>
  <c r="I53" i="14"/>
  <c r="K53" i="14" s="1"/>
  <c r="H53" i="14"/>
  <c r="G53" i="14"/>
  <c r="F53" i="14"/>
  <c r="E53" i="14"/>
  <c r="D53" i="14"/>
  <c r="C53" i="14"/>
  <c r="J51" i="14"/>
  <c r="I51" i="14"/>
  <c r="H51" i="14"/>
  <c r="G51" i="14"/>
  <c r="F51" i="14"/>
  <c r="E51" i="14"/>
  <c r="D51" i="14"/>
  <c r="C51" i="14"/>
  <c r="J49" i="14"/>
  <c r="I49" i="14"/>
  <c r="H49" i="14"/>
  <c r="G49" i="14"/>
  <c r="F49" i="14"/>
  <c r="E49" i="14"/>
  <c r="D49" i="14"/>
  <c r="C49" i="14"/>
  <c r="J47" i="14"/>
  <c r="I47" i="14"/>
  <c r="H47" i="14"/>
  <c r="G47" i="14"/>
  <c r="F47" i="14"/>
  <c r="E47" i="14"/>
  <c r="D47" i="14"/>
  <c r="C47" i="14"/>
  <c r="J40" i="14"/>
  <c r="L40" i="14" s="1"/>
  <c r="I40" i="14"/>
  <c r="K40" i="14" s="1"/>
  <c r="J38" i="14"/>
  <c r="L38" i="14" s="1"/>
  <c r="I38" i="14"/>
  <c r="K38" i="14" s="1"/>
  <c r="J36" i="14"/>
  <c r="L36" i="14" s="1"/>
  <c r="I36" i="14"/>
  <c r="K36" i="14" s="1"/>
  <c r="J34" i="14"/>
  <c r="I34" i="14"/>
  <c r="J27" i="14"/>
  <c r="L27" i="14" s="1"/>
  <c r="I27" i="14"/>
  <c r="K27" i="14" s="1"/>
  <c r="J25" i="14"/>
  <c r="L25" i="14" s="1"/>
  <c r="I25" i="14"/>
  <c r="K25" i="14" s="1"/>
  <c r="J23" i="14"/>
  <c r="L23" i="14" s="1"/>
  <c r="I23" i="14"/>
  <c r="K23" i="14" s="1"/>
  <c r="J21" i="14"/>
  <c r="I21" i="14"/>
  <c r="J14" i="14"/>
  <c r="I14" i="14"/>
  <c r="J12" i="14"/>
  <c r="L12" i="14" s="1"/>
  <c r="I12" i="14"/>
  <c r="K12" i="14" s="1"/>
  <c r="J10" i="14"/>
  <c r="I10" i="14"/>
  <c r="J8" i="14"/>
  <c r="I8" i="14"/>
  <c r="Q22" i="51" l="1"/>
  <c r="Z26" i="51" s="1"/>
  <c r="R19" i="51"/>
  <c r="AB30" i="51"/>
  <c r="AB31" i="51"/>
  <c r="AB32" i="51" s="1"/>
  <c r="R20" i="51"/>
  <c r="R21" i="51"/>
  <c r="R22" i="51"/>
  <c r="AA27" i="51"/>
  <c r="AA28" i="51" s="1"/>
  <c r="T21" i="51"/>
  <c r="AB27" i="51" s="1"/>
  <c r="AB28" i="51" s="1"/>
  <c r="Q20" i="51"/>
  <c r="Q19" i="51"/>
  <c r="R18" i="51"/>
  <c r="Q18" i="51"/>
  <c r="AA31" i="51"/>
  <c r="AA32" i="51" s="1"/>
  <c r="AA26" i="51"/>
  <c r="Y31" i="51"/>
  <c r="Y32" i="51" s="1"/>
  <c r="Y27" i="51"/>
  <c r="Y28" i="51" s="1"/>
  <c r="L51" i="14"/>
  <c r="K51" i="14"/>
  <c r="L49" i="14"/>
  <c r="K49" i="14"/>
  <c r="L53" i="14"/>
  <c r="Z27" i="51" l="1"/>
  <c r="Z28" i="51" s="1"/>
  <c r="Z31" i="51"/>
  <c r="Z32" i="51" s="1"/>
  <c r="Z30" i="51"/>
  <c r="R26" i="65" l="1"/>
  <c r="R27" i="65"/>
  <c r="R25" i="65"/>
  <c r="R24" i="65"/>
  <c r="P26" i="65"/>
  <c r="P27" i="65"/>
  <c r="Q27" i="65" s="1"/>
  <c r="P25" i="65"/>
  <c r="P24" i="65"/>
  <c r="N26" i="65"/>
  <c r="V26" i="65" s="1"/>
  <c r="N27" i="65"/>
  <c r="N25" i="65"/>
  <c r="V25" i="65" s="1"/>
  <c r="N24" i="65"/>
  <c r="V24" i="65" s="1"/>
  <c r="L25" i="65"/>
  <c r="L26" i="65"/>
  <c r="T26" i="65" s="1"/>
  <c r="L27" i="65"/>
  <c r="L24" i="65"/>
  <c r="J26" i="65"/>
  <c r="J25" i="65"/>
  <c r="J27" i="65"/>
  <c r="J24" i="65"/>
  <c r="H26" i="65"/>
  <c r="H27" i="65"/>
  <c r="I27" i="65" s="1"/>
  <c r="H25" i="65"/>
  <c r="H24" i="65"/>
  <c r="F26" i="65"/>
  <c r="F27" i="65"/>
  <c r="F25" i="65"/>
  <c r="F24" i="65"/>
  <c r="D24" i="65"/>
  <c r="D26" i="65"/>
  <c r="D27" i="65"/>
  <c r="D25" i="65"/>
  <c r="R23" i="65"/>
  <c r="R22" i="65"/>
  <c r="R21" i="65"/>
  <c r="R20" i="65"/>
  <c r="P23" i="65"/>
  <c r="P22" i="65"/>
  <c r="P21" i="65"/>
  <c r="P20" i="65"/>
  <c r="Q21" i="65" s="1"/>
  <c r="N23" i="65"/>
  <c r="V23" i="65" s="1"/>
  <c r="N22" i="65"/>
  <c r="N21" i="65"/>
  <c r="V21" i="65" s="1"/>
  <c r="N20" i="65"/>
  <c r="V20" i="65" s="1"/>
  <c r="L23" i="65"/>
  <c r="T23" i="65" s="1"/>
  <c r="L22" i="65"/>
  <c r="T22" i="65" s="1"/>
  <c r="L21" i="65"/>
  <c r="T21" i="65" s="1"/>
  <c r="L20" i="65"/>
  <c r="M21" i="65" s="1"/>
  <c r="J23" i="65"/>
  <c r="J22" i="65"/>
  <c r="J21" i="65"/>
  <c r="J20" i="65"/>
  <c r="H23" i="65"/>
  <c r="H22" i="65"/>
  <c r="I23" i="65" s="1"/>
  <c r="H21" i="65"/>
  <c r="H20" i="65"/>
  <c r="F23" i="65"/>
  <c r="F22" i="65"/>
  <c r="F21" i="65"/>
  <c r="F20" i="65"/>
  <c r="D23" i="65"/>
  <c r="D22" i="65"/>
  <c r="E22" i="65" s="1"/>
  <c r="D20" i="65"/>
  <c r="R18" i="65"/>
  <c r="R17" i="65"/>
  <c r="R16" i="65"/>
  <c r="P18" i="65"/>
  <c r="P17" i="65"/>
  <c r="P16" i="65"/>
  <c r="N18" i="65"/>
  <c r="V18" i="65" s="1"/>
  <c r="N17" i="65"/>
  <c r="V17" i="65" s="1"/>
  <c r="N16" i="65"/>
  <c r="L18" i="65"/>
  <c r="L17" i="65"/>
  <c r="L16" i="65"/>
  <c r="J18" i="65"/>
  <c r="J17" i="65"/>
  <c r="K17" i="65" s="1"/>
  <c r="J16" i="65"/>
  <c r="F18" i="65"/>
  <c r="G18" i="65" s="1"/>
  <c r="F17" i="65"/>
  <c r="F16" i="65"/>
  <c r="H18" i="65"/>
  <c r="H17" i="65"/>
  <c r="H16" i="65"/>
  <c r="F19" i="65"/>
  <c r="F15" i="65" s="1"/>
  <c r="H19" i="65"/>
  <c r="D18" i="65"/>
  <c r="D14" i="65" s="1"/>
  <c r="D17" i="65"/>
  <c r="D16" i="65"/>
  <c r="R19" i="65"/>
  <c r="L19" i="65"/>
  <c r="L15" i="65" s="1"/>
  <c r="J19" i="65"/>
  <c r="J15" i="65" s="1"/>
  <c r="P19" i="65"/>
  <c r="P15" i="65" s="1"/>
  <c r="N19" i="65"/>
  <c r="O19" i="65" s="1"/>
  <c r="D19" i="65"/>
  <c r="D15" i="65" s="1"/>
  <c r="S23" i="65"/>
  <c r="S22" i="65"/>
  <c r="Q23" i="65"/>
  <c r="M23" i="65"/>
  <c r="K23" i="65"/>
  <c r="G23" i="65"/>
  <c r="G22" i="65"/>
  <c r="E23" i="65"/>
  <c r="S18" i="65"/>
  <c r="S17" i="65"/>
  <c r="M18" i="65"/>
  <c r="K18" i="65"/>
  <c r="I18" i="65"/>
  <c r="R14" i="65"/>
  <c r="R13" i="65"/>
  <c r="P14" i="65"/>
  <c r="J14" i="65"/>
  <c r="F13" i="65"/>
  <c r="D13" i="65"/>
  <c r="D44" i="7"/>
  <c r="E44" i="7" s="1"/>
  <c r="G80" i="7"/>
  <c r="G78" i="7"/>
  <c r="G77" i="7"/>
  <c r="G76" i="7"/>
  <c r="G75" i="7"/>
  <c r="G74" i="7"/>
  <c r="G73" i="7"/>
  <c r="G72" i="7"/>
  <c r="G71" i="7"/>
  <c r="G70" i="7"/>
  <c r="E80" i="7"/>
  <c r="E78" i="7"/>
  <c r="E77" i="7"/>
  <c r="E76" i="7"/>
  <c r="E75" i="7"/>
  <c r="E74" i="7"/>
  <c r="E73" i="7"/>
  <c r="E72" i="7"/>
  <c r="E71" i="7"/>
  <c r="E70" i="7"/>
  <c r="G69" i="7"/>
  <c r="G67" i="7"/>
  <c r="G66" i="7"/>
  <c r="G65" i="7"/>
  <c r="G64" i="7"/>
  <c r="G63" i="7"/>
  <c r="G62" i="7"/>
  <c r="G61" i="7"/>
  <c r="E69" i="7"/>
  <c r="E67" i="7"/>
  <c r="E66" i="7"/>
  <c r="E65" i="7"/>
  <c r="E64" i="7"/>
  <c r="E63" i="7"/>
  <c r="E62" i="7"/>
  <c r="E61" i="7"/>
  <c r="G55" i="7"/>
  <c r="G53" i="7"/>
  <c r="G52" i="7"/>
  <c r="G51" i="7"/>
  <c r="G50" i="7"/>
  <c r="G49" i="7"/>
  <c r="G48" i="7"/>
  <c r="G47" i="7"/>
  <c r="G46" i="7"/>
  <c r="G45" i="7"/>
  <c r="G43" i="7"/>
  <c r="G42" i="7"/>
  <c r="G41" i="7"/>
  <c r="G40" i="7"/>
  <c r="G39" i="7"/>
  <c r="G38" i="7"/>
  <c r="G37" i="7"/>
  <c r="G36" i="7"/>
  <c r="E55" i="7"/>
  <c r="E53" i="7"/>
  <c r="E52" i="7"/>
  <c r="E51" i="7"/>
  <c r="E50" i="7"/>
  <c r="E49" i="7"/>
  <c r="E48" i="7"/>
  <c r="E47" i="7"/>
  <c r="E46" i="7"/>
  <c r="E45" i="7"/>
  <c r="E43" i="7"/>
  <c r="E42" i="7"/>
  <c r="E41" i="7"/>
  <c r="E40" i="7"/>
  <c r="E39" i="7"/>
  <c r="E38" i="7"/>
  <c r="E37" i="7"/>
  <c r="E36" i="7"/>
  <c r="G20" i="7"/>
  <c r="G21" i="7"/>
  <c r="G22" i="7"/>
  <c r="G23" i="7"/>
  <c r="G24" i="7"/>
  <c r="G25" i="7"/>
  <c r="G26" i="7"/>
  <c r="G27" i="7"/>
  <c r="G28" i="7"/>
  <c r="G30" i="7"/>
  <c r="G19" i="7"/>
  <c r="E20" i="7"/>
  <c r="E21" i="7"/>
  <c r="E22" i="7"/>
  <c r="E23" i="7"/>
  <c r="E24" i="7"/>
  <c r="E25" i="7"/>
  <c r="E26" i="7"/>
  <c r="E27" i="7"/>
  <c r="E28" i="7"/>
  <c r="E30" i="7"/>
  <c r="E19" i="7"/>
  <c r="G10" i="7"/>
  <c r="G11" i="7"/>
  <c r="G12" i="7"/>
  <c r="G13" i="7"/>
  <c r="G14" i="7"/>
  <c r="G15" i="7"/>
  <c r="G16" i="7"/>
  <c r="G18" i="7"/>
  <c r="G9" i="7"/>
  <c r="E18" i="7"/>
  <c r="E10" i="7"/>
  <c r="E11" i="7"/>
  <c r="E12" i="7"/>
  <c r="E13" i="7"/>
  <c r="E14" i="7"/>
  <c r="E15" i="7"/>
  <c r="E16" i="7"/>
  <c r="E9" i="7"/>
  <c r="U22" i="65" l="1"/>
  <c r="P13" i="65"/>
  <c r="T27" i="65"/>
  <c r="U27" i="65" s="1"/>
  <c r="H14" i="65"/>
  <c r="K27" i="65"/>
  <c r="L14" i="65"/>
  <c r="M15" i="65" s="1"/>
  <c r="O23" i="65"/>
  <c r="G27" i="65"/>
  <c r="O27" i="65"/>
  <c r="S27" i="65"/>
  <c r="O18" i="65"/>
  <c r="M22" i="65"/>
  <c r="F14" i="65"/>
  <c r="U23" i="65"/>
  <c r="T25" i="65"/>
  <c r="U26" i="65" s="1"/>
  <c r="T24" i="65"/>
  <c r="U25" i="65" s="1"/>
  <c r="E18" i="65"/>
  <c r="Q22" i="65"/>
  <c r="H13" i="65"/>
  <c r="G21" i="65"/>
  <c r="S21" i="65"/>
  <c r="N13" i="65"/>
  <c r="L13" i="65"/>
  <c r="M14" i="65" s="1"/>
  <c r="V13" i="65"/>
  <c r="W18" i="65"/>
  <c r="W26" i="65"/>
  <c r="T17" i="65"/>
  <c r="W21" i="65"/>
  <c r="V22" i="65"/>
  <c r="W22" i="65" s="1"/>
  <c r="W25" i="65"/>
  <c r="Q14" i="65"/>
  <c r="S14" i="65"/>
  <c r="I19" i="65"/>
  <c r="H15" i="65"/>
  <c r="I14" i="65"/>
  <c r="Q18" i="65"/>
  <c r="T18" i="65"/>
  <c r="K22" i="65"/>
  <c r="E27" i="65"/>
  <c r="M27" i="65"/>
  <c r="V27" i="65"/>
  <c r="W27" i="65" s="1"/>
  <c r="J12" i="65"/>
  <c r="R12" i="65"/>
  <c r="T16" i="65"/>
  <c r="L12" i="65"/>
  <c r="M13" i="65" s="1"/>
  <c r="E17" i="65"/>
  <c r="D12" i="65"/>
  <c r="E13" i="65" s="1"/>
  <c r="G17" i="65"/>
  <c r="F12" i="65"/>
  <c r="G13" i="65" s="1"/>
  <c r="Q17" i="65"/>
  <c r="P12" i="65"/>
  <c r="I17" i="65"/>
  <c r="H12" i="65"/>
  <c r="I13" i="65" s="1"/>
  <c r="V16" i="65"/>
  <c r="N12" i="65"/>
  <c r="O13" i="65" s="1"/>
  <c r="M17" i="65"/>
  <c r="I25" i="65"/>
  <c r="I21" i="65"/>
  <c r="O21" i="65"/>
  <c r="T20" i="65"/>
  <c r="U21" i="65" s="1"/>
  <c r="O17" i="65"/>
  <c r="S26" i="65"/>
  <c r="S25" i="65"/>
  <c r="Q26" i="65"/>
  <c r="Q25" i="65"/>
  <c r="O26" i="65"/>
  <c r="O25" i="65"/>
  <c r="M26" i="65"/>
  <c r="M25" i="65"/>
  <c r="K26" i="65"/>
  <c r="K25" i="65"/>
  <c r="I26" i="65"/>
  <c r="G26" i="65"/>
  <c r="G25" i="65"/>
  <c r="E25" i="65"/>
  <c r="E26" i="65"/>
  <c r="T13" i="65"/>
  <c r="S13" i="65"/>
  <c r="Q15" i="65"/>
  <c r="O22" i="65"/>
  <c r="N14" i="65"/>
  <c r="K21" i="65"/>
  <c r="J13" i="65"/>
  <c r="I22" i="65"/>
  <c r="E21" i="65"/>
  <c r="Q13" i="65"/>
  <c r="K15" i="65"/>
  <c r="G14" i="65"/>
  <c r="G15" i="65"/>
  <c r="E14" i="65"/>
  <c r="E15" i="65"/>
  <c r="S19" i="65"/>
  <c r="V19" i="65"/>
  <c r="R15" i="65"/>
  <c r="S15" i="65" s="1"/>
  <c r="M19" i="65"/>
  <c r="T19" i="65"/>
  <c r="Q19" i="65"/>
  <c r="N15" i="65"/>
  <c r="K19" i="65"/>
  <c r="G19" i="65"/>
  <c r="E19" i="65"/>
  <c r="F99" i="7"/>
  <c r="D99" i="7"/>
  <c r="D68" i="7"/>
  <c r="E68" i="7" s="1"/>
  <c r="O15" i="65" l="1"/>
  <c r="I15" i="65"/>
  <c r="H99" i="7"/>
  <c r="O14" i="65"/>
  <c r="U18" i="65"/>
  <c r="T14" i="65"/>
  <c r="U14" i="65" s="1"/>
  <c r="V14" i="65"/>
  <c r="W14" i="65" s="1"/>
  <c r="W23" i="65"/>
  <c r="W17" i="65"/>
  <c r="V12" i="65"/>
  <c r="W13" i="65" s="1"/>
  <c r="U17" i="65"/>
  <c r="T12" i="65"/>
  <c r="U13" i="65" s="1"/>
  <c r="K13" i="65"/>
  <c r="K14" i="65"/>
  <c r="W19" i="65"/>
  <c r="V15" i="65"/>
  <c r="T15" i="65"/>
  <c r="U15" i="65" s="1"/>
  <c r="U19" i="65"/>
  <c r="M33" i="47"/>
  <c r="L33" i="47"/>
  <c r="K33" i="47"/>
  <c r="J33" i="47"/>
  <c r="I33" i="47"/>
  <c r="H33" i="47"/>
  <c r="G33" i="47"/>
  <c r="F33" i="47"/>
  <c r="E33" i="47"/>
  <c r="D33" i="47"/>
  <c r="C33" i="47"/>
  <c r="M32" i="47"/>
  <c r="L32" i="47"/>
  <c r="K32" i="47"/>
  <c r="J32" i="47"/>
  <c r="I32" i="47"/>
  <c r="H32" i="47"/>
  <c r="G32" i="47"/>
  <c r="F32" i="47"/>
  <c r="E32" i="47"/>
  <c r="D32" i="47"/>
  <c r="C32" i="47"/>
  <c r="M31" i="47"/>
  <c r="L31" i="47"/>
  <c r="K31" i="47"/>
  <c r="J31" i="47"/>
  <c r="I31" i="47"/>
  <c r="H31" i="47"/>
  <c r="G31" i="47"/>
  <c r="F31" i="47"/>
  <c r="E31" i="47"/>
  <c r="D31" i="47"/>
  <c r="C31" i="47"/>
  <c r="M30" i="47"/>
  <c r="L30" i="47"/>
  <c r="K30" i="47"/>
  <c r="J30" i="47"/>
  <c r="I30" i="47"/>
  <c r="H30" i="47"/>
  <c r="G30" i="47"/>
  <c r="F30" i="47"/>
  <c r="E30" i="47"/>
  <c r="D30" i="47"/>
  <c r="C30" i="47"/>
  <c r="N48" i="45"/>
  <c r="N44" i="45"/>
  <c r="N40" i="45"/>
  <c r="N36" i="45"/>
  <c r="N51" i="45"/>
  <c r="N50" i="45"/>
  <c r="N49" i="45"/>
  <c r="N47" i="45"/>
  <c r="N46" i="45"/>
  <c r="N45" i="45"/>
  <c r="N43" i="45"/>
  <c r="N42" i="45"/>
  <c r="N41" i="45"/>
  <c r="N38" i="45"/>
  <c r="N37" i="45"/>
  <c r="N39" i="45"/>
  <c r="J36" i="45"/>
  <c r="J38" i="45"/>
  <c r="J37" i="45"/>
  <c r="J39" i="45"/>
  <c r="F36" i="45"/>
  <c r="F38" i="45"/>
  <c r="F37" i="45"/>
  <c r="F39" i="45"/>
  <c r="Y44" i="45"/>
  <c r="Z44" i="45"/>
  <c r="AA44" i="45"/>
  <c r="AB44" i="45"/>
  <c r="Y45" i="45"/>
  <c r="Z45" i="45"/>
  <c r="AA45" i="45"/>
  <c r="AB45" i="45"/>
  <c r="Y46" i="45"/>
  <c r="Z46" i="45"/>
  <c r="AA46" i="45"/>
  <c r="AB46" i="45"/>
  <c r="Y47" i="45"/>
  <c r="Z47" i="45"/>
  <c r="AA47" i="45"/>
  <c r="AB47" i="45"/>
  <c r="Y48" i="45"/>
  <c r="Z48" i="45"/>
  <c r="AA48" i="45"/>
  <c r="AB48" i="45"/>
  <c r="Y49" i="45"/>
  <c r="Z49" i="45"/>
  <c r="AA49" i="45"/>
  <c r="AB49" i="45"/>
  <c r="Y50" i="45"/>
  <c r="Z50" i="45"/>
  <c r="AA50" i="45"/>
  <c r="AB50" i="45"/>
  <c r="Y51" i="45"/>
  <c r="Z51" i="45"/>
  <c r="AA51" i="45"/>
  <c r="AB51" i="45"/>
  <c r="Y52" i="45"/>
  <c r="Z52" i="45"/>
  <c r="AA52" i="45"/>
  <c r="AB52" i="45"/>
  <c r="Y40" i="45"/>
  <c r="Z40" i="45"/>
  <c r="AA40" i="45"/>
  <c r="AB40" i="45"/>
  <c r="Z41" i="45"/>
  <c r="AA41" i="45"/>
  <c r="AB41" i="45"/>
  <c r="Z42" i="45"/>
  <c r="AA42" i="45"/>
  <c r="AB42" i="45"/>
  <c r="Z43" i="45"/>
  <c r="AA43" i="45"/>
  <c r="AB43" i="45"/>
  <c r="Y41" i="45"/>
  <c r="Y42" i="45"/>
  <c r="Y43" i="45"/>
  <c r="F27" i="45"/>
  <c r="F25" i="45"/>
  <c r="F26" i="45"/>
  <c r="F20" i="45"/>
  <c r="F16" i="45"/>
  <c r="F24" i="45"/>
  <c r="F23" i="45"/>
  <c r="F22" i="45"/>
  <c r="F21" i="45"/>
  <c r="F18" i="45"/>
  <c r="F17" i="45"/>
  <c r="F19" i="45"/>
  <c r="W15" i="65" l="1"/>
  <c r="J43" i="45"/>
  <c r="J41" i="45"/>
  <c r="J51" i="45"/>
  <c r="J50" i="45"/>
  <c r="F41" i="45"/>
  <c r="F49" i="45"/>
  <c r="J47" i="45"/>
  <c r="J44" i="45"/>
  <c r="F43" i="45"/>
  <c r="F40" i="45"/>
  <c r="J48" i="45"/>
  <c r="F47" i="45"/>
  <c r="F46" i="45"/>
  <c r="J45" i="45"/>
  <c r="F44" i="45"/>
  <c r="F42" i="45"/>
  <c r="F51" i="45"/>
  <c r="J46" i="45"/>
  <c r="F45" i="45"/>
  <c r="J42" i="45"/>
  <c r="J40" i="45"/>
  <c r="J49" i="45"/>
  <c r="F48" i="45"/>
  <c r="F50" i="45"/>
  <c r="N68" i="40" l="1"/>
  <c r="AC74" i="40"/>
  <c r="AC73" i="40"/>
  <c r="AC72" i="40"/>
  <c r="AC71" i="40"/>
  <c r="AC70" i="40"/>
  <c r="AA74" i="40"/>
  <c r="Z74" i="40"/>
  <c r="Y74" i="40"/>
  <c r="AA73" i="40"/>
  <c r="Z73" i="40"/>
  <c r="Y73" i="40"/>
  <c r="AA72" i="40"/>
  <c r="Z72" i="40"/>
  <c r="Y72" i="40"/>
  <c r="AA71" i="40"/>
  <c r="Z71" i="40"/>
  <c r="Y71" i="40"/>
  <c r="AA70" i="40"/>
  <c r="Z70" i="40"/>
  <c r="Y70" i="40"/>
  <c r="T74" i="40"/>
  <c r="S74" i="40"/>
  <c r="R74" i="40"/>
  <c r="Q74" i="40"/>
  <c r="P74" i="40"/>
  <c r="T73" i="40"/>
  <c r="S73" i="40"/>
  <c r="R73" i="40"/>
  <c r="Q73" i="40"/>
  <c r="P73" i="40"/>
  <c r="T72" i="40"/>
  <c r="S72" i="40"/>
  <c r="R72" i="40"/>
  <c r="Q72" i="40"/>
  <c r="P72" i="40"/>
  <c r="T71" i="40"/>
  <c r="S71" i="40"/>
  <c r="R71" i="40"/>
  <c r="Q71" i="40"/>
  <c r="P71" i="40"/>
  <c r="T70" i="40"/>
  <c r="S70" i="40"/>
  <c r="R70" i="40"/>
  <c r="Q70" i="40"/>
  <c r="P70" i="40"/>
  <c r="N74" i="40"/>
  <c r="N73" i="40"/>
  <c r="AD73" i="40" s="1"/>
  <c r="N72" i="40"/>
  <c r="N71" i="40"/>
  <c r="N70" i="40"/>
  <c r="AC68" i="40"/>
  <c r="AB68" i="40"/>
  <c r="AA68" i="40"/>
  <c r="Z68" i="40"/>
  <c r="Y68" i="40"/>
  <c r="X68" i="40"/>
  <c r="W68" i="40"/>
  <c r="V68" i="40"/>
  <c r="U68" i="40"/>
  <c r="T68" i="40"/>
  <c r="S68" i="40"/>
  <c r="R68" i="40"/>
  <c r="Q68" i="40"/>
  <c r="P68" i="40"/>
  <c r="O68" i="40"/>
  <c r="AC67" i="40"/>
  <c r="AB67" i="40"/>
  <c r="AA67" i="40"/>
  <c r="Z67" i="40"/>
  <c r="Y67" i="40"/>
  <c r="X67" i="40"/>
  <c r="W67" i="40"/>
  <c r="V67" i="40"/>
  <c r="U67" i="40"/>
  <c r="T67" i="40"/>
  <c r="S67" i="40"/>
  <c r="R67" i="40"/>
  <c r="Q67" i="40"/>
  <c r="P67" i="40"/>
  <c r="O67" i="40"/>
  <c r="N67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AC65" i="40"/>
  <c r="AB65" i="40"/>
  <c r="AA65" i="40"/>
  <c r="Z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AC59" i="40"/>
  <c r="AB59" i="40"/>
  <c r="AA59" i="40"/>
  <c r="Z59" i="40"/>
  <c r="Y59" i="40"/>
  <c r="X59" i="40"/>
  <c r="W59" i="40"/>
  <c r="V59" i="40"/>
  <c r="U59" i="40"/>
  <c r="T59" i="40"/>
  <c r="S59" i="40"/>
  <c r="R59" i="40"/>
  <c r="Q59" i="40"/>
  <c r="P59" i="40"/>
  <c r="O59" i="40"/>
  <c r="N59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N62" i="40"/>
  <c r="O62" i="40"/>
  <c r="R62" i="40"/>
  <c r="V62" i="40"/>
  <c r="Z62" i="40"/>
  <c r="AB62" i="40"/>
  <c r="AC62" i="40"/>
  <c r="AA62" i="40"/>
  <c r="Y62" i="40"/>
  <c r="X62" i="40"/>
  <c r="W62" i="40"/>
  <c r="U62" i="40"/>
  <c r="T62" i="40"/>
  <c r="S62" i="40"/>
  <c r="Q62" i="40"/>
  <c r="P62" i="40"/>
  <c r="T25" i="40"/>
  <c r="T24" i="40"/>
  <c r="T23" i="40"/>
  <c r="T22" i="40"/>
  <c r="T21" i="40"/>
  <c r="S25" i="40"/>
  <c r="S24" i="40"/>
  <c r="S23" i="40"/>
  <c r="S22" i="40"/>
  <c r="S21" i="40"/>
  <c r="Q25" i="40"/>
  <c r="Q24" i="40"/>
  <c r="Q23" i="40"/>
  <c r="Q22" i="40"/>
  <c r="Q21" i="40"/>
  <c r="O25" i="40"/>
  <c r="N25" i="40"/>
  <c r="O24" i="40"/>
  <c r="N24" i="40"/>
  <c r="O23" i="40"/>
  <c r="N23" i="40"/>
  <c r="O22" i="40"/>
  <c r="N22" i="40"/>
  <c r="O21" i="40"/>
  <c r="N21" i="40"/>
  <c r="T19" i="40"/>
  <c r="S19" i="40"/>
  <c r="R19" i="40"/>
  <c r="Q19" i="40"/>
  <c r="P19" i="40"/>
  <c r="O19" i="40"/>
  <c r="N19" i="40"/>
  <c r="T18" i="40"/>
  <c r="S18" i="40"/>
  <c r="R18" i="40"/>
  <c r="Q18" i="40"/>
  <c r="P18" i="40"/>
  <c r="O18" i="40"/>
  <c r="N18" i="40"/>
  <c r="T17" i="40"/>
  <c r="S17" i="40"/>
  <c r="R17" i="40"/>
  <c r="Q17" i="40"/>
  <c r="P17" i="40"/>
  <c r="O17" i="40"/>
  <c r="N17" i="40"/>
  <c r="T16" i="40"/>
  <c r="S16" i="40"/>
  <c r="R16" i="40"/>
  <c r="Q16" i="40"/>
  <c r="P16" i="40"/>
  <c r="O16" i="40"/>
  <c r="N16" i="40"/>
  <c r="T15" i="40"/>
  <c r="S15" i="40"/>
  <c r="R15" i="40"/>
  <c r="Q15" i="40"/>
  <c r="P15" i="40"/>
  <c r="O15" i="40"/>
  <c r="N15" i="40"/>
  <c r="T11" i="40"/>
  <c r="S11" i="40"/>
  <c r="R11" i="40"/>
  <c r="Q11" i="40"/>
  <c r="P11" i="40"/>
  <c r="O11" i="40"/>
  <c r="N11" i="40"/>
  <c r="T10" i="40"/>
  <c r="S10" i="40"/>
  <c r="R10" i="40"/>
  <c r="Q10" i="40"/>
  <c r="P10" i="40"/>
  <c r="O10" i="40"/>
  <c r="N10" i="40"/>
  <c r="T9" i="40"/>
  <c r="S9" i="40"/>
  <c r="R9" i="40"/>
  <c r="Q9" i="40"/>
  <c r="P9" i="40"/>
  <c r="O9" i="40"/>
  <c r="N9" i="40"/>
  <c r="T12" i="40"/>
  <c r="S12" i="40"/>
  <c r="R12" i="40"/>
  <c r="Q12" i="40"/>
  <c r="P12" i="40"/>
  <c r="O12" i="40"/>
  <c r="N12" i="40"/>
  <c r="T13" i="40"/>
  <c r="S13" i="40"/>
  <c r="Q13" i="40"/>
  <c r="R13" i="40"/>
  <c r="P13" i="40"/>
  <c r="O13" i="40"/>
  <c r="N13" i="40"/>
  <c r="U24" i="40" l="1"/>
  <c r="U16" i="40"/>
  <c r="U23" i="40"/>
  <c r="AD74" i="40"/>
  <c r="U9" i="40"/>
  <c r="U21" i="40"/>
  <c r="AD70" i="40"/>
  <c r="AD58" i="40"/>
  <c r="AD59" i="40"/>
  <c r="AD60" i="40"/>
  <c r="AD61" i="40"/>
  <c r="AD64" i="40"/>
  <c r="AD65" i="40"/>
  <c r="AD66" i="40"/>
  <c r="AD71" i="40"/>
  <c r="U11" i="40"/>
  <c r="U13" i="40"/>
  <c r="U18" i="40"/>
  <c r="U22" i="40"/>
  <c r="AD72" i="40"/>
  <c r="U12" i="40"/>
  <c r="U10" i="40"/>
  <c r="U15" i="40"/>
  <c r="U17" i="40"/>
  <c r="U19" i="40"/>
  <c r="AD67" i="40"/>
  <c r="U25" i="40"/>
  <c r="AD62" i="40"/>
  <c r="AD68" i="40"/>
  <c r="O170" i="39"/>
  <c r="O144" i="39"/>
  <c r="O111" i="39"/>
  <c r="O85" i="39"/>
  <c r="O26" i="39"/>
  <c r="O52" i="39"/>
  <c r="AA151" i="39" l="1"/>
  <c r="AA153" i="39" s="1"/>
  <c r="AB151" i="39"/>
  <c r="AB152" i="39" s="1"/>
  <c r="T151" i="39"/>
  <c r="T153" i="39" s="1"/>
  <c r="Q151" i="39"/>
  <c r="Q152" i="39" s="1"/>
  <c r="AH92" i="39"/>
  <c r="AH93" i="39" s="1"/>
  <c r="V92" i="39"/>
  <c r="V93" i="39" s="1"/>
  <c r="T92" i="39"/>
  <c r="T93" i="39" s="1"/>
  <c r="Q92" i="39"/>
  <c r="Q93" i="39" s="1"/>
  <c r="AN7" i="39"/>
  <c r="Q33" i="39"/>
  <c r="Q34" i="39" s="1"/>
  <c r="T33" i="39"/>
  <c r="V33" i="39"/>
  <c r="V34" i="39" s="1"/>
  <c r="AH33" i="39"/>
  <c r="AH34" i="39" s="1"/>
  <c r="Z153" i="39"/>
  <c r="Y153" i="39"/>
  <c r="X153" i="39"/>
  <c r="W153" i="39"/>
  <c r="V153" i="39"/>
  <c r="U153" i="39"/>
  <c r="S153" i="39"/>
  <c r="R153" i="39"/>
  <c r="P153" i="39"/>
  <c r="Z152" i="39"/>
  <c r="Y152" i="39"/>
  <c r="X152" i="39"/>
  <c r="W152" i="39"/>
  <c r="V152" i="39"/>
  <c r="U152" i="39"/>
  <c r="S152" i="39"/>
  <c r="R152" i="39"/>
  <c r="P152" i="39"/>
  <c r="AE127" i="39"/>
  <c r="AD127" i="39"/>
  <c r="AC127" i="39"/>
  <c r="AB127" i="39"/>
  <c r="Z127" i="39"/>
  <c r="Y127" i="39"/>
  <c r="AA127" i="39" s="1"/>
  <c r="X127" i="39"/>
  <c r="V127" i="39"/>
  <c r="U127" i="39"/>
  <c r="T127" i="39"/>
  <c r="S127" i="39"/>
  <c r="R127" i="39"/>
  <c r="Q127" i="39"/>
  <c r="P127" i="39"/>
  <c r="AF126" i="39"/>
  <c r="AE126" i="39"/>
  <c r="AD126" i="39"/>
  <c r="AC126" i="39"/>
  <c r="AB126" i="39"/>
  <c r="AA126" i="39"/>
  <c r="Z126" i="39"/>
  <c r="Y126" i="39"/>
  <c r="X126" i="39"/>
  <c r="W126" i="39"/>
  <c r="V126" i="39"/>
  <c r="U126" i="39"/>
  <c r="T126" i="39"/>
  <c r="S126" i="39"/>
  <c r="R126" i="39"/>
  <c r="Q126" i="39"/>
  <c r="P126" i="39"/>
  <c r="AG125" i="39"/>
  <c r="AG126" i="39" s="1"/>
  <c r="AG94" i="39"/>
  <c r="AF94" i="39"/>
  <c r="AE94" i="39"/>
  <c r="AD94" i="39"/>
  <c r="AC94" i="39"/>
  <c r="AB94" i="39"/>
  <c r="AA94" i="39"/>
  <c r="Z94" i="39"/>
  <c r="Y94" i="39"/>
  <c r="X94" i="39"/>
  <c r="W94" i="39"/>
  <c r="U94" i="39"/>
  <c r="S94" i="39"/>
  <c r="R94" i="39"/>
  <c r="P94" i="39"/>
  <c r="AG93" i="39"/>
  <c r="AF93" i="39"/>
  <c r="AE93" i="39"/>
  <c r="AD93" i="39"/>
  <c r="AC93" i="39"/>
  <c r="AB93" i="39"/>
  <c r="AA93" i="39"/>
  <c r="Z93" i="39"/>
  <c r="Y93" i="39"/>
  <c r="X93" i="39"/>
  <c r="W93" i="39"/>
  <c r="U93" i="39"/>
  <c r="S93" i="39"/>
  <c r="R93" i="39"/>
  <c r="P93" i="39"/>
  <c r="AM68" i="39"/>
  <c r="AL68" i="39"/>
  <c r="AK68" i="39"/>
  <c r="AJ68" i="39"/>
  <c r="AG68" i="39"/>
  <c r="AF68" i="39"/>
  <c r="AE68" i="39"/>
  <c r="AD68" i="39"/>
  <c r="AC68" i="39"/>
  <c r="AB68" i="39"/>
  <c r="Z68" i="39"/>
  <c r="Y68" i="39"/>
  <c r="X68" i="39"/>
  <c r="W68" i="39"/>
  <c r="V68" i="39"/>
  <c r="U68" i="39"/>
  <c r="T68" i="39"/>
  <c r="S68" i="39"/>
  <c r="Q68" i="39"/>
  <c r="P68" i="39"/>
  <c r="AM67" i="39"/>
  <c r="AL67" i="39"/>
  <c r="AK67" i="39"/>
  <c r="AJ67" i="39"/>
  <c r="AH67" i="39"/>
  <c r="AG67" i="39"/>
  <c r="AF67" i="39"/>
  <c r="AE67" i="39"/>
  <c r="AD67" i="39"/>
  <c r="AC67" i="39"/>
  <c r="AB67" i="39"/>
  <c r="AA67" i="39"/>
  <c r="Z67" i="39"/>
  <c r="Y67" i="39"/>
  <c r="X67" i="39"/>
  <c r="W67" i="39"/>
  <c r="V67" i="39"/>
  <c r="U67" i="39"/>
  <c r="T67" i="39"/>
  <c r="S67" i="39"/>
  <c r="R67" i="39"/>
  <c r="Q67" i="39"/>
  <c r="P67" i="39"/>
  <c r="AN66" i="39"/>
  <c r="AN67" i="39" s="1"/>
  <c r="AI66" i="39"/>
  <c r="AI68" i="39" s="1"/>
  <c r="AG35" i="39"/>
  <c r="AF35" i="39"/>
  <c r="AE35" i="39"/>
  <c r="AD35" i="39"/>
  <c r="AC35" i="39"/>
  <c r="AB35" i="39"/>
  <c r="AA35" i="39"/>
  <c r="Z35" i="39"/>
  <c r="Y35" i="39"/>
  <c r="X35" i="39"/>
  <c r="W35" i="39"/>
  <c r="P35" i="39"/>
  <c r="AG34" i="39"/>
  <c r="AF34" i="39"/>
  <c r="AE34" i="39"/>
  <c r="AD34" i="39"/>
  <c r="AC34" i="39"/>
  <c r="AB34" i="39"/>
  <c r="AA34" i="39"/>
  <c r="Z34" i="39"/>
  <c r="Y34" i="39"/>
  <c r="X34" i="39"/>
  <c r="W34" i="39"/>
  <c r="U34" i="39"/>
  <c r="S34" i="39"/>
  <c r="R34" i="39"/>
  <c r="P34" i="39"/>
  <c r="AA68" i="39" l="1"/>
  <c r="W127" i="39"/>
  <c r="R68" i="39"/>
  <c r="AI67" i="39"/>
  <c r="T34" i="39"/>
  <c r="T35" i="39"/>
  <c r="AA152" i="39"/>
  <c r="AN68" i="39"/>
  <c r="T152" i="39"/>
  <c r="T94" i="39"/>
  <c r="Q94" i="39" s="1"/>
  <c r="AH94" i="39"/>
  <c r="AB153" i="39"/>
  <c r="AG127" i="39"/>
  <c r="AF127" i="39"/>
  <c r="Q153" i="39"/>
  <c r="AH68" i="39"/>
  <c r="V94" i="39"/>
  <c r="V35" i="39"/>
  <c r="AM9" i="39"/>
  <c r="AL9" i="39"/>
  <c r="AK9" i="39"/>
  <c r="AJ9" i="39"/>
  <c r="AG9" i="39"/>
  <c r="AF9" i="39"/>
  <c r="AE9" i="39"/>
  <c r="AD9" i="39"/>
  <c r="AC9" i="39"/>
  <c r="AB9" i="39"/>
  <c r="Z9" i="39"/>
  <c r="Y9" i="39"/>
  <c r="X9" i="39"/>
  <c r="W9" i="39"/>
  <c r="V9" i="39"/>
  <c r="U9" i="39"/>
  <c r="T9" i="39"/>
  <c r="S9" i="39"/>
  <c r="Q13" i="39" s="1"/>
  <c r="Q9" i="39"/>
  <c r="P9" i="39"/>
  <c r="AM8" i="39"/>
  <c r="AL8" i="39"/>
  <c r="AK8" i="39"/>
  <c r="AJ8" i="39"/>
  <c r="AH8" i="39"/>
  <c r="AG8" i="39"/>
  <c r="AF8" i="39"/>
  <c r="AE8" i="39"/>
  <c r="P8" i="39"/>
  <c r="AD8" i="39"/>
  <c r="AC8" i="39"/>
  <c r="AB8" i="39"/>
  <c r="AA8" i="39"/>
  <c r="Z8" i="39"/>
  <c r="Y8" i="39"/>
  <c r="X8" i="39"/>
  <c r="W8" i="39"/>
  <c r="V8" i="39"/>
  <c r="U8" i="39"/>
  <c r="T8" i="39"/>
  <c r="S8" i="39"/>
  <c r="R8" i="39"/>
  <c r="Q8" i="39"/>
  <c r="AN8" i="39"/>
  <c r="AI7" i="39"/>
  <c r="AI9" i="39" s="1"/>
  <c r="AH9" i="39" l="1"/>
  <c r="R9" i="39"/>
  <c r="AA9" i="39"/>
  <c r="AI8" i="39"/>
  <c r="AN9" i="39"/>
  <c r="J8" i="34"/>
  <c r="I8" i="34"/>
  <c r="H8" i="34"/>
  <c r="G8" i="34"/>
  <c r="F8" i="34"/>
  <c r="E8" i="34"/>
  <c r="D8" i="34"/>
  <c r="J10" i="34" l="1"/>
  <c r="I10" i="34"/>
  <c r="H10" i="34"/>
  <c r="G10" i="34"/>
  <c r="F10" i="34"/>
  <c r="E10" i="34"/>
  <c r="D10" i="34"/>
  <c r="J9" i="34"/>
  <c r="I9" i="34"/>
  <c r="H9" i="34"/>
  <c r="G9" i="34"/>
  <c r="F9" i="34"/>
  <c r="E9" i="34"/>
  <c r="D9" i="34"/>
  <c r="C102" i="38" l="1"/>
  <c r="P30" i="35" l="1"/>
  <c r="P29" i="35"/>
  <c r="P28" i="35"/>
  <c r="G34" i="35"/>
  <c r="G33" i="35"/>
  <c r="G32" i="35"/>
  <c r="G30" i="35"/>
  <c r="G29" i="35"/>
  <c r="G28" i="35"/>
  <c r="Z27" i="35"/>
  <c r="Z26" i="35"/>
  <c r="Z25" i="35"/>
  <c r="Z24" i="35"/>
  <c r="P27" i="35"/>
  <c r="P26" i="35"/>
  <c r="P25" i="35"/>
  <c r="P24" i="35"/>
  <c r="G27" i="35"/>
  <c r="G26" i="35"/>
  <c r="G25" i="35"/>
  <c r="Z23" i="35"/>
  <c r="Z22" i="35"/>
  <c r="P23" i="35"/>
  <c r="P22" i="35"/>
  <c r="G24" i="35"/>
  <c r="G23" i="35"/>
  <c r="G22" i="35"/>
  <c r="Z18" i="35"/>
  <c r="Z17" i="35"/>
  <c r="Z16" i="35"/>
  <c r="P18" i="35"/>
  <c r="P17" i="35"/>
  <c r="P16" i="35"/>
  <c r="G18" i="35"/>
  <c r="G17" i="35"/>
  <c r="G16" i="35"/>
  <c r="F15" i="45" l="1"/>
  <c r="F14" i="45"/>
  <c r="F13" i="45"/>
  <c r="G12" i="43" l="1"/>
  <c r="C12" i="43" s="1"/>
  <c r="G11" i="43"/>
  <c r="C11" i="43" s="1"/>
  <c r="G10" i="43"/>
  <c r="C10" i="43" s="1"/>
  <c r="G9" i="43"/>
  <c r="C9" i="43" s="1"/>
  <c r="G8" i="43"/>
  <c r="C8" i="43" s="1"/>
  <c r="G7" i="43"/>
  <c r="C7" i="43" s="1"/>
  <c r="G6" i="43"/>
  <c r="C6" i="43" s="1"/>
  <c r="G5" i="43"/>
  <c r="B5" i="43" s="1"/>
  <c r="E12" i="33" s="1"/>
  <c r="G4" i="43"/>
  <c r="B4" i="43" s="1"/>
  <c r="G3" i="43"/>
  <c r="C3" i="43" s="1"/>
  <c r="C2" i="43"/>
  <c r="B2" i="43"/>
  <c r="M13" i="40" s="1"/>
  <c r="B10" i="43" l="1"/>
  <c r="E10" i="43" s="1"/>
  <c r="C21" i="65"/>
  <c r="C13" i="65"/>
  <c r="C25" i="65"/>
  <c r="C17" i="65"/>
  <c r="A8" i="34"/>
  <c r="M11" i="40"/>
  <c r="C10" i="22"/>
  <c r="C20" i="65"/>
  <c r="C24" i="65"/>
  <c r="C16" i="65"/>
  <c r="C12" i="65"/>
  <c r="E8" i="45"/>
  <c r="E36" i="45"/>
  <c r="M10" i="40"/>
  <c r="C13" i="22"/>
  <c r="F9" i="35"/>
  <c r="M29" i="47"/>
  <c r="BW28" i="47" s="1"/>
  <c r="B20" i="19"/>
  <c r="E11" i="45"/>
  <c r="B14" i="19"/>
  <c r="E39" i="45"/>
  <c r="E51" i="45" s="1"/>
  <c r="M18" i="36"/>
  <c r="E15" i="33"/>
  <c r="F2" i="43"/>
  <c r="C4" i="43"/>
  <c r="D4" i="43" s="1"/>
  <c r="C5" i="38" s="1"/>
  <c r="C11" i="22"/>
  <c r="B12" i="19"/>
  <c r="E37" i="45"/>
  <c r="E49" i="45" s="1"/>
  <c r="M16" i="36"/>
  <c r="K29" i="47"/>
  <c r="BK28" i="47" s="1"/>
  <c r="E13" i="33"/>
  <c r="E9" i="45"/>
  <c r="F7" i="35"/>
  <c r="F4" i="43"/>
  <c r="B18" i="19"/>
  <c r="B3" i="43"/>
  <c r="D3" i="43" s="1"/>
  <c r="B17" i="19"/>
  <c r="J29" i="47"/>
  <c r="BE28" i="47" s="1"/>
  <c r="M15" i="36"/>
  <c r="B11" i="19"/>
  <c r="F5" i="43"/>
  <c r="B8" i="43"/>
  <c r="E8" i="43" s="1"/>
  <c r="C27" i="65"/>
  <c r="C15" i="65"/>
  <c r="C19" i="65"/>
  <c r="C23" i="65"/>
  <c r="B7" i="43"/>
  <c r="B6" i="43"/>
  <c r="E2" i="43"/>
  <c r="B11" i="43"/>
  <c r="B12" i="43"/>
  <c r="D2" i="43"/>
  <c r="B9" i="43"/>
  <c r="C5" i="43"/>
  <c r="T51" i="45"/>
  <c r="R51" i="45"/>
  <c r="V51" i="45" s="1"/>
  <c r="Q51" i="45"/>
  <c r="M51" i="45"/>
  <c r="U50" i="45" s="1"/>
  <c r="U51" i="45" s="1"/>
  <c r="I51" i="45"/>
  <c r="R50" i="45"/>
  <c r="Q50" i="45"/>
  <c r="M50" i="45"/>
  <c r="I50" i="45"/>
  <c r="R49" i="45"/>
  <c r="Q49" i="45"/>
  <c r="M49" i="45"/>
  <c r="I49" i="45"/>
  <c r="T47" i="45"/>
  <c r="R47" i="45"/>
  <c r="V47" i="45" s="1"/>
  <c r="Q47" i="45"/>
  <c r="M47" i="45"/>
  <c r="U46" i="45" s="1"/>
  <c r="U47" i="45" s="1"/>
  <c r="I47" i="45"/>
  <c r="R46" i="45"/>
  <c r="Q46" i="45"/>
  <c r="M46" i="45"/>
  <c r="I46" i="45"/>
  <c r="R45" i="45"/>
  <c r="Q45" i="45"/>
  <c r="M45" i="45"/>
  <c r="I45" i="45"/>
  <c r="T43" i="45"/>
  <c r="R43" i="45"/>
  <c r="V43" i="45" s="1"/>
  <c r="Q43" i="45"/>
  <c r="M43" i="45"/>
  <c r="U42" i="45" s="1"/>
  <c r="U43" i="45" s="1"/>
  <c r="I43" i="45"/>
  <c r="R42" i="45"/>
  <c r="Q42" i="45"/>
  <c r="M42" i="45"/>
  <c r="I42" i="45"/>
  <c r="R41" i="45"/>
  <c r="Q41" i="45"/>
  <c r="M41" i="45"/>
  <c r="I41" i="45"/>
  <c r="R39" i="45"/>
  <c r="Q39" i="45"/>
  <c r="M39" i="45"/>
  <c r="I39" i="45"/>
  <c r="R38" i="45"/>
  <c r="Q38" i="45"/>
  <c r="M38" i="45"/>
  <c r="I38" i="45"/>
  <c r="R37" i="45"/>
  <c r="Q37" i="45"/>
  <c r="M37" i="45"/>
  <c r="I37" i="45"/>
  <c r="F79" i="7"/>
  <c r="D79" i="7"/>
  <c r="E79" i="7" s="1"/>
  <c r="F68" i="7"/>
  <c r="F54" i="7"/>
  <c r="D54" i="7"/>
  <c r="E54" i="7" s="1"/>
  <c r="F44" i="7"/>
  <c r="F29" i="7"/>
  <c r="D29" i="7"/>
  <c r="E29" i="7" s="1"/>
  <c r="F17" i="7"/>
  <c r="D17" i="7"/>
  <c r="E17" i="7" s="1"/>
  <c r="A10" i="34"/>
  <c r="D10" i="43" l="1"/>
  <c r="G17" i="7"/>
  <c r="H17" i="7"/>
  <c r="G29" i="7"/>
  <c r="H29" i="7"/>
  <c r="G68" i="7"/>
  <c r="H68" i="7"/>
  <c r="G79" i="7"/>
  <c r="H79" i="7"/>
  <c r="G44" i="7"/>
  <c r="H44" i="7"/>
  <c r="G54" i="7"/>
  <c r="H54" i="7"/>
  <c r="M10" i="36"/>
  <c r="E4" i="43"/>
  <c r="E29" i="47"/>
  <c r="AA28" i="47" s="1"/>
  <c r="F10" i="43"/>
  <c r="M9" i="40"/>
  <c r="E11" i="33"/>
  <c r="C26" i="65"/>
  <c r="M12" i="40"/>
  <c r="C18" i="22"/>
  <c r="C22" i="22"/>
  <c r="C26" i="22"/>
  <c r="C14" i="22"/>
  <c r="N121" i="39"/>
  <c r="N3" i="39"/>
  <c r="N62" i="39"/>
  <c r="E3" i="43"/>
  <c r="A9" i="34"/>
  <c r="B9" i="19"/>
  <c r="B15" i="19"/>
  <c r="E44" i="45"/>
  <c r="E40" i="45"/>
  <c r="E48" i="45"/>
  <c r="C19" i="22"/>
  <c r="C27" i="22"/>
  <c r="C15" i="22"/>
  <c r="C23" i="22"/>
  <c r="C29" i="22"/>
  <c r="C17" i="22"/>
  <c r="C21" i="22"/>
  <c r="C25" i="22"/>
  <c r="W50" i="45"/>
  <c r="W51" i="45" s="1"/>
  <c r="C14" i="65"/>
  <c r="E7" i="43"/>
  <c r="M13" i="36"/>
  <c r="F7" i="43"/>
  <c r="H29" i="47"/>
  <c r="AS28" i="47" s="1"/>
  <c r="P13" i="51"/>
  <c r="P10" i="53"/>
  <c r="P10" i="54"/>
  <c r="P10" i="52"/>
  <c r="E11" i="43"/>
  <c r="F11" i="43"/>
  <c r="M9" i="36"/>
  <c r="D29" i="47"/>
  <c r="U28" i="47" s="1"/>
  <c r="E6" i="43"/>
  <c r="F6" i="43"/>
  <c r="B16" i="19"/>
  <c r="B10" i="19"/>
  <c r="M14" i="36"/>
  <c r="I29" i="47"/>
  <c r="AY28" i="47" s="1"/>
  <c r="P9" i="54"/>
  <c r="P12" i="51"/>
  <c r="P9" i="53"/>
  <c r="P9" i="52"/>
  <c r="E9" i="43"/>
  <c r="F29" i="47"/>
  <c r="AG28" i="47" s="1"/>
  <c r="F9" i="43"/>
  <c r="M11" i="36"/>
  <c r="C12" i="22"/>
  <c r="E10" i="45"/>
  <c r="E14" i="33"/>
  <c r="B13" i="19"/>
  <c r="E38" i="45"/>
  <c r="E46" i="45" s="1"/>
  <c r="M17" i="36"/>
  <c r="F3" i="43"/>
  <c r="B19" i="19"/>
  <c r="L29" i="47"/>
  <c r="BQ28" i="47" s="1"/>
  <c r="F8" i="35"/>
  <c r="P12" i="53"/>
  <c r="P12" i="52"/>
  <c r="P15" i="51"/>
  <c r="P12" i="54"/>
  <c r="E12" i="43"/>
  <c r="C29" i="47"/>
  <c r="O28" i="47" s="1"/>
  <c r="F12" i="43"/>
  <c r="D88" i="7"/>
  <c r="D59" i="7"/>
  <c r="D34" i="7"/>
  <c r="D95" i="7"/>
  <c r="D7" i="7"/>
  <c r="G5" i="38"/>
  <c r="M12" i="36"/>
  <c r="G29" i="47"/>
  <c r="AM28" i="47" s="1"/>
  <c r="F8" i="43"/>
  <c r="C18" i="65"/>
  <c r="B2" i="22"/>
  <c r="B2" i="64"/>
  <c r="B2" i="51"/>
  <c r="F59" i="7"/>
  <c r="F7" i="7"/>
  <c r="K5" i="38"/>
  <c r="F88" i="7"/>
  <c r="F34" i="7"/>
  <c r="F95" i="7"/>
  <c r="D8" i="43"/>
  <c r="C22" i="65"/>
  <c r="B4" i="65"/>
  <c r="L60" i="39"/>
  <c r="B2" i="34"/>
  <c r="C2" i="45"/>
  <c r="L1" i="39"/>
  <c r="L119" i="39"/>
  <c r="C4" i="10"/>
  <c r="B4" i="7"/>
  <c r="B4" i="33"/>
  <c r="D5" i="43"/>
  <c r="D6" i="43"/>
  <c r="D9" i="43"/>
  <c r="D7" i="43"/>
  <c r="D12" i="43"/>
  <c r="D11" i="43"/>
  <c r="E5" i="43"/>
  <c r="W42" i="45"/>
  <c r="W43" i="45" s="1"/>
  <c r="W46" i="45"/>
  <c r="W47" i="45" s="1"/>
  <c r="E41" i="45"/>
  <c r="E43" i="45"/>
  <c r="E45" i="45"/>
  <c r="E47" i="45"/>
  <c r="M62" i="40"/>
  <c r="M61" i="40"/>
  <c r="M60" i="40"/>
  <c r="M59" i="40"/>
  <c r="M58" i="40"/>
  <c r="C24" i="22" l="1"/>
  <c r="C28" i="22"/>
  <c r="C16" i="22"/>
  <c r="C20" i="22"/>
  <c r="E42" i="45"/>
  <c r="E50" i="45"/>
  <c r="P8" i="54"/>
  <c r="P8" i="53"/>
  <c r="P8" i="52"/>
  <c r="P11" i="51"/>
  <c r="P11" i="53"/>
  <c r="P11" i="52"/>
  <c r="P14" i="51"/>
  <c r="P11" i="54"/>
  <c r="L60" i="24" l="1"/>
  <c r="K60" i="24"/>
  <c r="J60" i="24"/>
  <c r="I60" i="24"/>
  <c r="H60" i="24"/>
  <c r="G60" i="24"/>
  <c r="F60" i="24"/>
  <c r="E60" i="24"/>
  <c r="L57" i="24"/>
  <c r="K57" i="24"/>
  <c r="J57" i="24"/>
  <c r="I57" i="24"/>
  <c r="H57" i="24"/>
  <c r="G57" i="24"/>
  <c r="F57" i="24"/>
  <c r="E57" i="24"/>
  <c r="L54" i="24"/>
  <c r="K54" i="24"/>
  <c r="J54" i="24"/>
  <c r="I54" i="24"/>
  <c r="H54" i="24"/>
  <c r="G54" i="24"/>
  <c r="F54" i="24"/>
  <c r="E54" i="24"/>
  <c r="L51" i="24"/>
  <c r="K51" i="24"/>
  <c r="J51" i="24"/>
  <c r="I51" i="24"/>
  <c r="H51" i="24"/>
  <c r="G51" i="24"/>
  <c r="F51" i="24"/>
  <c r="E51" i="24"/>
  <c r="L48" i="24"/>
  <c r="K48" i="24"/>
  <c r="J48" i="24"/>
  <c r="I48" i="24"/>
  <c r="H48" i="24"/>
  <c r="G48" i="24"/>
  <c r="F48" i="24"/>
  <c r="E48" i="24"/>
  <c r="L17" i="24"/>
  <c r="K17" i="24"/>
  <c r="J17" i="24"/>
  <c r="I17" i="24"/>
  <c r="H17" i="24"/>
  <c r="G17" i="24"/>
  <c r="F17" i="24"/>
  <c r="L14" i="24"/>
  <c r="K14" i="24"/>
  <c r="J14" i="24"/>
  <c r="I14" i="24"/>
  <c r="H14" i="24"/>
  <c r="G14" i="24"/>
  <c r="F14" i="24"/>
  <c r="E14" i="24"/>
  <c r="L11" i="24"/>
  <c r="K11" i="24"/>
  <c r="J11" i="24"/>
  <c r="I11" i="24"/>
  <c r="H11" i="24"/>
  <c r="G11" i="24"/>
  <c r="F11" i="24"/>
  <c r="L8" i="24"/>
  <c r="K8" i="24"/>
  <c r="J8" i="24"/>
  <c r="I8" i="24"/>
  <c r="H8" i="24"/>
  <c r="G8" i="24"/>
  <c r="F8" i="24"/>
  <c r="L14" i="14"/>
  <c r="K14" i="14"/>
  <c r="L10" i="14"/>
  <c r="K10" i="14"/>
  <c r="L8" i="14"/>
  <c r="K8" i="14"/>
  <c r="L21" i="14"/>
  <c r="K21" i="14"/>
  <c r="L34" i="14"/>
  <c r="K34" i="14"/>
  <c r="L47" i="14"/>
  <c r="K47" i="14"/>
  <c r="F10" i="59"/>
  <c r="G10" i="59"/>
  <c r="H10" i="59"/>
  <c r="I10" i="59"/>
  <c r="J10" i="59"/>
  <c r="K10" i="59"/>
  <c r="L10" i="59"/>
  <c r="M10" i="59"/>
  <c r="G15" i="59"/>
  <c r="H15" i="59"/>
  <c r="I15" i="59"/>
  <c r="J15" i="59"/>
  <c r="K15" i="59"/>
  <c r="L15" i="59"/>
  <c r="M15" i="59"/>
  <c r="E30" i="59"/>
  <c r="F30" i="59"/>
  <c r="G30" i="59"/>
  <c r="H30" i="59"/>
  <c r="I30" i="59"/>
  <c r="J30" i="59"/>
  <c r="K30" i="59"/>
  <c r="L30" i="59"/>
  <c r="M30" i="59"/>
  <c r="D10" i="56"/>
  <c r="E10" i="56"/>
  <c r="F10" i="56"/>
  <c r="G10" i="56"/>
  <c r="H10" i="56"/>
  <c r="I10" i="56"/>
  <c r="J10" i="56"/>
  <c r="K10" i="56"/>
  <c r="L10" i="56"/>
  <c r="M10" i="56"/>
  <c r="N10" i="56"/>
  <c r="O10" i="56"/>
  <c r="P10" i="56"/>
  <c r="Q10" i="56"/>
  <c r="R10" i="56"/>
  <c r="C11" i="56"/>
  <c r="D11" i="56"/>
  <c r="E11" i="56"/>
  <c r="F11" i="56"/>
  <c r="G11" i="56"/>
  <c r="H11" i="56"/>
  <c r="I11" i="56"/>
  <c r="J11" i="56"/>
  <c r="K11" i="56"/>
  <c r="L11" i="56"/>
  <c r="M11" i="56"/>
  <c r="N11" i="56"/>
  <c r="O11" i="56"/>
  <c r="P11" i="56"/>
  <c r="Q11" i="56"/>
  <c r="R11" i="56"/>
  <c r="C22" i="56"/>
  <c r="D22" i="56"/>
  <c r="E22" i="56"/>
  <c r="F22" i="56"/>
  <c r="G22" i="56"/>
  <c r="H22" i="56"/>
  <c r="I22" i="56"/>
  <c r="J22" i="56"/>
  <c r="K22" i="56"/>
  <c r="L22" i="56"/>
  <c r="M22" i="56"/>
  <c r="N22" i="56"/>
  <c r="O22" i="56"/>
  <c r="P22" i="56"/>
  <c r="Q22" i="56"/>
  <c r="R22" i="56"/>
  <c r="C23" i="56"/>
  <c r="D23" i="56"/>
  <c r="E23" i="56"/>
  <c r="F23" i="56"/>
  <c r="G23" i="56"/>
  <c r="H23" i="56"/>
  <c r="I23" i="56"/>
  <c r="J23" i="56"/>
  <c r="K23" i="56"/>
  <c r="L23" i="56"/>
  <c r="M23" i="56"/>
  <c r="N23" i="56"/>
  <c r="O23" i="56"/>
  <c r="P23" i="56"/>
  <c r="Q23" i="56"/>
  <c r="R23" i="56"/>
  <c r="C34" i="56"/>
  <c r="D34" i="56"/>
  <c r="E34" i="56"/>
  <c r="F34" i="56"/>
  <c r="G34" i="56"/>
  <c r="H34" i="56"/>
  <c r="I34" i="56"/>
  <c r="J34" i="56"/>
  <c r="K34" i="56"/>
  <c r="L34" i="56"/>
  <c r="M34" i="56"/>
  <c r="N34" i="56"/>
  <c r="O34" i="56"/>
  <c r="P34" i="56"/>
  <c r="Q34" i="56"/>
  <c r="R34" i="56"/>
  <c r="C35" i="56"/>
  <c r="D35" i="56"/>
  <c r="E35" i="56"/>
  <c r="F35" i="56"/>
  <c r="G35" i="56"/>
  <c r="H35" i="56"/>
  <c r="I35" i="56"/>
  <c r="J35" i="56"/>
  <c r="K35" i="56"/>
  <c r="L35" i="56"/>
  <c r="M35" i="56"/>
  <c r="N35" i="56"/>
  <c r="O35" i="56"/>
  <c r="P35" i="56"/>
  <c r="Q35" i="56"/>
  <c r="R35" i="56"/>
  <c r="C47" i="56"/>
  <c r="D47" i="56"/>
  <c r="E47" i="56"/>
  <c r="F47" i="56"/>
  <c r="G47" i="56"/>
  <c r="H47" i="56"/>
  <c r="I47" i="56"/>
  <c r="J47" i="56"/>
  <c r="K47" i="56"/>
  <c r="L47" i="56"/>
  <c r="M47" i="56"/>
  <c r="N47" i="56"/>
  <c r="O47" i="56"/>
  <c r="P47" i="56"/>
  <c r="Q47" i="56"/>
  <c r="R47" i="56"/>
  <c r="S8" i="54"/>
  <c r="S29" i="54"/>
  <c r="S9" i="54"/>
  <c r="S10" i="54"/>
  <c r="S11" i="54"/>
  <c r="S12" i="54"/>
  <c r="Y23" i="54"/>
  <c r="Z23" i="54"/>
  <c r="AA23" i="54"/>
  <c r="AB23" i="54"/>
  <c r="Y24" i="54"/>
  <c r="Y25" i="54" s="1"/>
  <c r="Z24" i="54"/>
  <c r="Z25" i="54" s="1"/>
  <c r="AA24" i="54"/>
  <c r="AA25" i="54" s="1"/>
  <c r="AB24" i="54"/>
  <c r="AB25" i="54" s="1"/>
  <c r="P15" i="54"/>
  <c r="P16" i="54"/>
  <c r="Y27" i="54"/>
  <c r="Z27" i="54"/>
  <c r="AA27" i="54"/>
  <c r="AB27" i="54"/>
  <c r="Y28" i="54"/>
  <c r="Y29" i="54" s="1"/>
  <c r="Z28" i="54"/>
  <c r="Z29" i="54" s="1"/>
  <c r="AA28" i="54"/>
  <c r="AA29" i="54" s="1"/>
  <c r="AB28" i="54"/>
  <c r="AB29" i="54" s="1"/>
  <c r="Q22" i="54"/>
  <c r="R22" i="54"/>
  <c r="S22" i="54"/>
  <c r="Q23" i="54"/>
  <c r="R23" i="54"/>
  <c r="Q25" i="54"/>
  <c r="R25" i="54"/>
  <c r="S25" i="54"/>
  <c r="Q26" i="54"/>
  <c r="R26" i="54"/>
  <c r="Q28" i="54"/>
  <c r="R28" i="54"/>
  <c r="S28" i="54"/>
  <c r="Q29" i="54"/>
  <c r="R29" i="54"/>
  <c r="Q31" i="54"/>
  <c r="R31" i="54"/>
  <c r="S31" i="54"/>
  <c r="Q32" i="54"/>
  <c r="R32" i="54"/>
  <c r="S8" i="53"/>
  <c r="S10" i="53"/>
  <c r="S11" i="53"/>
  <c r="S12" i="53"/>
  <c r="Y23" i="53"/>
  <c r="Z23" i="53"/>
  <c r="AA23" i="53"/>
  <c r="AB23" i="53"/>
  <c r="Y24" i="53"/>
  <c r="Y25" i="53" s="1"/>
  <c r="Z24" i="53"/>
  <c r="Z25" i="53" s="1"/>
  <c r="AA24" i="53"/>
  <c r="AA25" i="53" s="1"/>
  <c r="AB24" i="53"/>
  <c r="AB25" i="53" s="1"/>
  <c r="Y27" i="53"/>
  <c r="Z27" i="53"/>
  <c r="AA27" i="53"/>
  <c r="AB27" i="53"/>
  <c r="Y28" i="53"/>
  <c r="Y29" i="53" s="1"/>
  <c r="Z28" i="53"/>
  <c r="Z29" i="53" s="1"/>
  <c r="AA28" i="53"/>
  <c r="AA29" i="53" s="1"/>
  <c r="AB28" i="53"/>
  <c r="AB29" i="53" s="1"/>
  <c r="Q22" i="53"/>
  <c r="R22" i="53"/>
  <c r="S22" i="53"/>
  <c r="Q23" i="53"/>
  <c r="R23" i="53"/>
  <c r="Q25" i="53"/>
  <c r="R25" i="53"/>
  <c r="S25" i="53"/>
  <c r="Q26" i="53"/>
  <c r="R26" i="53"/>
  <c r="Q28" i="53"/>
  <c r="R28" i="53"/>
  <c r="S28" i="53"/>
  <c r="Q29" i="53"/>
  <c r="R29" i="53"/>
  <c r="Q31" i="53"/>
  <c r="R31" i="53"/>
  <c r="S31" i="53"/>
  <c r="Q32" i="53"/>
  <c r="R32" i="53"/>
  <c r="Y23" i="52"/>
  <c r="Z23" i="52"/>
  <c r="AA23" i="52"/>
  <c r="AB23" i="52"/>
  <c r="Y24" i="52"/>
  <c r="Y25" i="52" s="1"/>
  <c r="Z24" i="52"/>
  <c r="Z25" i="52" s="1"/>
  <c r="AA24" i="52"/>
  <c r="AA25" i="52" s="1"/>
  <c r="AB24" i="52"/>
  <c r="AB25" i="52" s="1"/>
  <c r="Y27" i="52"/>
  <c r="Z27" i="52"/>
  <c r="AA27" i="52"/>
  <c r="AB27" i="52"/>
  <c r="Y28" i="52"/>
  <c r="Y29" i="52" s="1"/>
  <c r="Z28" i="52"/>
  <c r="Z29" i="52" s="1"/>
  <c r="AA28" i="52"/>
  <c r="AA29" i="52" s="1"/>
  <c r="AB28" i="52"/>
  <c r="AB29" i="52" s="1"/>
  <c r="Q22" i="52"/>
  <c r="R22" i="52"/>
  <c r="S22" i="52"/>
  <c r="Q23" i="52"/>
  <c r="R23" i="52"/>
  <c r="Q25" i="52"/>
  <c r="R25" i="52"/>
  <c r="S25" i="52"/>
  <c r="Q26" i="52"/>
  <c r="R26" i="52"/>
  <c r="Q28" i="52"/>
  <c r="R28" i="52"/>
  <c r="S28" i="52"/>
  <c r="Q29" i="52"/>
  <c r="R29" i="52"/>
  <c r="Q31" i="52"/>
  <c r="R31" i="52"/>
  <c r="S31" i="52"/>
  <c r="Q32" i="52"/>
  <c r="R32" i="52"/>
  <c r="S11" i="51"/>
  <c r="S12" i="51"/>
  <c r="S13" i="51"/>
  <c r="S14" i="51"/>
  <c r="S15" i="51"/>
  <c r="S19" i="51"/>
  <c r="S22" i="51"/>
  <c r="Q25" i="51"/>
  <c r="R25" i="51"/>
  <c r="S25" i="51"/>
  <c r="Q26" i="51"/>
  <c r="R26" i="51"/>
  <c r="Q28" i="51"/>
  <c r="R28" i="51"/>
  <c r="S28" i="51"/>
  <c r="Q29" i="51"/>
  <c r="R29" i="51"/>
  <c r="Q31" i="51"/>
  <c r="R31" i="51"/>
  <c r="S31" i="51"/>
  <c r="Q32" i="51"/>
  <c r="R32" i="51"/>
  <c r="Q34" i="51"/>
  <c r="R34" i="51"/>
  <c r="S34" i="51"/>
  <c r="Q35" i="51"/>
  <c r="R35" i="51"/>
  <c r="P21" i="51" l="1"/>
  <c r="P18" i="54"/>
  <c r="P19" i="54"/>
  <c r="P26" i="51"/>
  <c r="S12" i="52"/>
  <c r="P15" i="52"/>
  <c r="S11" i="52"/>
  <c r="S10" i="52"/>
  <c r="S9" i="52"/>
  <c r="P23" i="53"/>
  <c r="S18" i="53"/>
  <c r="P16" i="53"/>
  <c r="P19" i="52"/>
  <c r="P18" i="52"/>
  <c r="S9" i="53"/>
  <c r="P29" i="53" s="1"/>
  <c r="S16" i="53"/>
  <c r="S19" i="54"/>
  <c r="S26" i="52"/>
  <c r="S8" i="52"/>
  <c r="P23" i="52"/>
  <c r="S29" i="53"/>
  <c r="S17" i="54"/>
  <c r="S26" i="54"/>
  <c r="S35" i="51"/>
  <c r="S17" i="53"/>
  <c r="S23" i="53"/>
  <c r="S23" i="54"/>
  <c r="S26" i="53"/>
  <c r="P17" i="54"/>
  <c r="P26" i="54" s="1"/>
  <c r="S15" i="54"/>
  <c r="S19" i="53"/>
  <c r="P18" i="53"/>
  <c r="S15" i="53"/>
  <c r="S21" i="51"/>
  <c r="S20" i="51"/>
  <c r="P17" i="52"/>
  <c r="S17" i="52"/>
  <c r="P16" i="52"/>
  <c r="S23" i="52"/>
  <c r="S19" i="52"/>
  <c r="S15" i="52"/>
  <c r="S29" i="51"/>
  <c r="S18" i="51"/>
  <c r="S32" i="51"/>
  <c r="S26" i="51"/>
  <c r="P19" i="51"/>
  <c r="P32" i="51"/>
  <c r="P29" i="54"/>
  <c r="P22" i="51"/>
  <c r="P20" i="51"/>
  <c r="P18" i="51"/>
  <c r="S18" i="52"/>
  <c r="S16" i="52"/>
  <c r="P19" i="53"/>
  <c r="P17" i="53"/>
  <c r="P15" i="53"/>
  <c r="P23" i="54"/>
  <c r="S18" i="54"/>
  <c r="S16" i="54"/>
  <c r="P35" i="51" l="1"/>
  <c r="P29" i="52"/>
  <c r="P32" i="53"/>
  <c r="S29" i="52"/>
  <c r="P32" i="54"/>
  <c r="P29" i="51"/>
  <c r="P26" i="52"/>
  <c r="P32" i="52"/>
  <c r="S32" i="54"/>
  <c r="P26" i="53"/>
  <c r="S32" i="52"/>
  <c r="S32" i="53" l="1"/>
  <c r="U27" i="45" l="1"/>
  <c r="U26" i="45"/>
  <c r="U22" i="45"/>
  <c r="U19" i="45"/>
  <c r="E23" i="45"/>
  <c r="E18" i="45"/>
  <c r="E21" i="45"/>
  <c r="E20" i="45"/>
  <c r="V15" i="10"/>
  <c r="U15" i="10"/>
  <c r="S15" i="10"/>
  <c r="P15" i="10"/>
  <c r="M15" i="10"/>
  <c r="V12" i="10"/>
  <c r="U12" i="10"/>
  <c r="S12" i="10"/>
  <c r="P12" i="10"/>
  <c r="M12" i="10"/>
  <c r="V9" i="10"/>
  <c r="U9" i="10"/>
  <c r="S9" i="10"/>
  <c r="P9" i="10"/>
  <c r="M9" i="10"/>
  <c r="F9" i="45" l="1"/>
  <c r="E12" i="45"/>
  <c r="E16" i="45"/>
  <c r="I21" i="45"/>
  <c r="I23" i="45"/>
  <c r="V22" i="45" s="1"/>
  <c r="V23" i="45" s="1"/>
  <c r="I25" i="45"/>
  <c r="E15" i="45"/>
  <c r="I18" i="45"/>
  <c r="I26" i="45"/>
  <c r="F11" i="45"/>
  <c r="E13" i="45"/>
  <c r="E17" i="45"/>
  <c r="E19" i="45"/>
  <c r="E24" i="45"/>
  <c r="E25" i="45"/>
  <c r="E27" i="45"/>
  <c r="I27" i="45"/>
  <c r="V26" i="45" s="1"/>
  <c r="V27" i="45" s="1"/>
  <c r="U18" i="45"/>
  <c r="I19" i="45"/>
  <c r="V18" i="45" s="1"/>
  <c r="V19" i="45" s="1"/>
  <c r="E22" i="45"/>
  <c r="I22" i="45"/>
  <c r="U23" i="45"/>
  <c r="E26" i="45"/>
  <c r="F10" i="45"/>
  <c r="E14" i="45"/>
  <c r="I15" i="45"/>
  <c r="I10" i="45" l="1"/>
  <c r="I11" i="45"/>
  <c r="I17" i="45"/>
  <c r="F12" i="45"/>
  <c r="I13" i="45" s="1"/>
  <c r="F8" i="45"/>
  <c r="I9" i="45" s="1"/>
  <c r="I14" i="45"/>
  <c r="F92" i="7" l="1"/>
  <c r="D92" i="7"/>
  <c r="F81" i="7"/>
  <c r="D81" i="7"/>
  <c r="F56" i="7"/>
  <c r="H56" i="7" s="1"/>
  <c r="D56" i="7"/>
  <c r="F31" i="7"/>
  <c r="D31" i="7"/>
  <c r="H31" i="7" l="1"/>
  <c r="H81" i="7"/>
  <c r="H92" i="7"/>
  <c r="K123" i="39"/>
  <c r="K124" i="39"/>
  <c r="K125" i="39"/>
  <c r="K126" i="39"/>
  <c r="K127" i="39"/>
  <c r="K132" i="39"/>
  <c r="K133" i="39"/>
  <c r="K136" i="39"/>
  <c r="K137" i="39"/>
  <c r="K138" i="39"/>
  <c r="K139" i="39"/>
  <c r="X85" i="40"/>
  <c r="W85" i="40"/>
  <c r="V85" i="40"/>
  <c r="U85" i="40"/>
  <c r="T85" i="40"/>
  <c r="S85" i="40"/>
  <c r="R85" i="40"/>
  <c r="Q85" i="40"/>
  <c r="P85" i="40"/>
  <c r="O85" i="40"/>
  <c r="N85" i="40"/>
  <c r="X84" i="40"/>
  <c r="W84" i="40"/>
  <c r="V84" i="40"/>
  <c r="U84" i="40"/>
  <c r="T84" i="40"/>
  <c r="S84" i="40"/>
  <c r="R84" i="40"/>
  <c r="Q84" i="40"/>
  <c r="P84" i="40"/>
  <c r="O84" i="40"/>
  <c r="N84" i="40"/>
  <c r="AD82" i="40"/>
  <c r="AC82" i="40"/>
  <c r="AB82" i="40"/>
  <c r="AA82" i="40"/>
  <c r="Z82" i="40"/>
  <c r="Y82" i="40"/>
  <c r="X82" i="40"/>
  <c r="W82" i="40"/>
  <c r="V82" i="40"/>
  <c r="U82" i="40"/>
  <c r="T82" i="40"/>
  <c r="S82" i="40"/>
  <c r="R82" i="40"/>
  <c r="Q82" i="40"/>
  <c r="P82" i="40"/>
  <c r="O82" i="40"/>
  <c r="N82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R81" i="40"/>
  <c r="Q81" i="40"/>
  <c r="P81" i="40"/>
  <c r="O81" i="40"/>
  <c r="N81" i="40"/>
  <c r="AD79" i="40"/>
  <c r="AC79" i="40"/>
  <c r="AB79" i="40"/>
  <c r="AA79" i="40"/>
  <c r="Z79" i="40"/>
  <c r="Y79" i="40"/>
  <c r="X79" i="40"/>
  <c r="W79" i="40"/>
  <c r="V79" i="40"/>
  <c r="U79" i="40"/>
  <c r="T79" i="40"/>
  <c r="S79" i="40"/>
  <c r="R79" i="40"/>
  <c r="Q79" i="40"/>
  <c r="P79" i="40"/>
  <c r="O79" i="40"/>
  <c r="N79" i="40"/>
  <c r="AD78" i="40"/>
  <c r="AC78" i="40"/>
  <c r="AB78" i="40"/>
  <c r="AA78" i="40"/>
  <c r="Z78" i="40"/>
  <c r="Y78" i="40"/>
  <c r="X78" i="40"/>
  <c r="W78" i="40"/>
  <c r="V78" i="40"/>
  <c r="U78" i="40"/>
  <c r="T78" i="40"/>
  <c r="S78" i="40"/>
  <c r="R78" i="40"/>
  <c r="Q78" i="40"/>
  <c r="P78" i="40"/>
  <c r="O78" i="40"/>
  <c r="N78" i="40"/>
  <c r="M67" i="40"/>
  <c r="M65" i="40"/>
  <c r="M68" i="40"/>
  <c r="M73" i="40"/>
  <c r="M66" i="40"/>
  <c r="M71" i="40"/>
  <c r="O77" i="40"/>
  <c r="P40" i="40"/>
  <c r="O40" i="40"/>
  <c r="N40" i="40"/>
  <c r="S36" i="40"/>
  <c r="R36" i="40"/>
  <c r="Q36" i="40"/>
  <c r="P36" i="40"/>
  <c r="O36" i="40"/>
  <c r="N36" i="40"/>
  <c r="S35" i="40"/>
  <c r="R35" i="40"/>
  <c r="Q35" i="40"/>
  <c r="P35" i="40"/>
  <c r="O35" i="40"/>
  <c r="N35" i="40"/>
  <c r="U33" i="40"/>
  <c r="T33" i="40"/>
  <c r="S33" i="40"/>
  <c r="R33" i="40"/>
  <c r="Q33" i="40"/>
  <c r="P33" i="40"/>
  <c r="O33" i="40"/>
  <c r="N33" i="40"/>
  <c r="U32" i="40"/>
  <c r="T32" i="40"/>
  <c r="S32" i="40"/>
  <c r="R32" i="40"/>
  <c r="Q32" i="40"/>
  <c r="P32" i="40"/>
  <c r="O32" i="40"/>
  <c r="N32" i="40"/>
  <c r="U30" i="40"/>
  <c r="T30" i="40"/>
  <c r="S30" i="40"/>
  <c r="R30" i="40"/>
  <c r="Q30" i="40"/>
  <c r="P30" i="40"/>
  <c r="O30" i="40"/>
  <c r="N30" i="40"/>
  <c r="U29" i="40"/>
  <c r="T29" i="40"/>
  <c r="S29" i="40"/>
  <c r="R29" i="40"/>
  <c r="Q29" i="40"/>
  <c r="P29" i="40"/>
  <c r="O29" i="40"/>
  <c r="N29" i="40"/>
  <c r="M19" i="40"/>
  <c r="M24" i="40"/>
  <c r="M17" i="40"/>
  <c r="M22" i="40"/>
  <c r="I85" i="39"/>
  <c r="I84" i="39"/>
  <c r="I83" i="39"/>
  <c r="I82" i="39"/>
  <c r="I78" i="39"/>
  <c r="I77" i="39"/>
  <c r="I76" i="39"/>
  <c r="I75" i="39"/>
  <c r="I74" i="39"/>
  <c r="I73" i="39"/>
  <c r="I69" i="39"/>
  <c r="I68" i="39"/>
  <c r="K67" i="39"/>
  <c r="K66" i="39"/>
  <c r="K65" i="39"/>
  <c r="K64" i="39"/>
  <c r="J63" i="39"/>
  <c r="I26" i="39"/>
  <c r="I25" i="39"/>
  <c r="I24" i="39"/>
  <c r="I23" i="39"/>
  <c r="I19" i="39"/>
  <c r="I18" i="39"/>
  <c r="I17" i="39"/>
  <c r="I16" i="39"/>
  <c r="I15" i="39"/>
  <c r="I14" i="39"/>
  <c r="I10" i="39"/>
  <c r="I9" i="39"/>
  <c r="K8" i="39"/>
  <c r="K7" i="39"/>
  <c r="K6" i="39"/>
  <c r="K5" i="39"/>
  <c r="J4" i="39"/>
  <c r="Q40" i="40" l="1"/>
  <c r="N42" i="40" s="1"/>
  <c r="N44" i="40" s="1"/>
  <c r="M16" i="40"/>
  <c r="M70" i="40"/>
  <c r="M72" i="40"/>
  <c r="M74" i="40"/>
  <c r="O28" i="40"/>
  <c r="M18" i="40"/>
  <c r="M64" i="40"/>
  <c r="O80" i="40" s="1"/>
  <c r="M21" i="40"/>
  <c r="M23" i="40"/>
  <c r="M25" i="40"/>
  <c r="M15" i="40"/>
  <c r="O83" i="40" l="1"/>
  <c r="O31" i="40"/>
  <c r="O34" i="40"/>
  <c r="L132" i="39" l="1"/>
  <c r="L123" i="39"/>
  <c r="L137" i="39"/>
  <c r="L133" i="39"/>
  <c r="L124" i="39"/>
  <c r="T95" i="39"/>
  <c r="L85" i="39"/>
  <c r="L83" i="39"/>
  <c r="L77" i="39"/>
  <c r="L75" i="39"/>
  <c r="L73" i="39"/>
  <c r="L68" i="39"/>
  <c r="L66" i="39"/>
  <c r="L64" i="39"/>
  <c r="L84" i="39"/>
  <c r="L82" i="39"/>
  <c r="L76" i="39"/>
  <c r="L74" i="39"/>
  <c r="L69" i="39"/>
  <c r="L67" i="39"/>
  <c r="L65" i="39"/>
  <c r="L63" i="39"/>
  <c r="L26" i="39"/>
  <c r="L24" i="39"/>
  <c r="L18" i="39"/>
  <c r="L16" i="39"/>
  <c r="L14" i="39"/>
  <c r="L9" i="39"/>
  <c r="L7" i="39"/>
  <c r="L5" i="39"/>
  <c r="L25" i="39"/>
  <c r="L17" i="39"/>
  <c r="L8" i="39"/>
  <c r="L6" i="39"/>
  <c r="L23" i="39"/>
  <c r="L15" i="39"/>
  <c r="L10" i="39"/>
  <c r="L4" i="39"/>
  <c r="L128" i="39" l="1"/>
  <c r="L125" i="39"/>
  <c r="L138" i="39"/>
  <c r="L126" i="39"/>
  <c r="L127" i="39"/>
  <c r="L136" i="39"/>
  <c r="V78" i="39"/>
  <c r="V79" i="39" s="1"/>
  <c r="Q106" i="39"/>
  <c r="R123" i="39"/>
  <c r="R128" i="39"/>
  <c r="V128" i="39"/>
  <c r="V123" i="39"/>
  <c r="Z128" i="39"/>
  <c r="Z123" i="39"/>
  <c r="AD128" i="39"/>
  <c r="Q160" i="39"/>
  <c r="Q158" i="39"/>
  <c r="Q159" i="39" s="1"/>
  <c r="P167" i="39" s="1"/>
  <c r="U154" i="39"/>
  <c r="S128" i="39"/>
  <c r="S123" i="39"/>
  <c r="AE128" i="39"/>
  <c r="S154" i="39"/>
  <c r="S165" i="39"/>
  <c r="S163" i="39"/>
  <c r="S164" i="39" s="1"/>
  <c r="Z165" i="39"/>
  <c r="Z163" i="39"/>
  <c r="Z164" i="39" s="1"/>
  <c r="W160" i="39"/>
  <c r="W158" i="39"/>
  <c r="AA154" i="39"/>
  <c r="R165" i="39"/>
  <c r="R163" i="39"/>
  <c r="R164" i="39" s="1"/>
  <c r="R154" i="39"/>
  <c r="R158" i="39"/>
  <c r="V154" i="39"/>
  <c r="U165" i="39"/>
  <c r="U163" i="39"/>
  <c r="U164" i="39" s="1"/>
  <c r="R160" i="39"/>
  <c r="Z149" i="39"/>
  <c r="V158" i="39"/>
  <c r="Z154" i="39"/>
  <c r="Y165" i="39"/>
  <c r="Y163" i="39"/>
  <c r="Y164" i="39" s="1"/>
  <c r="V160" i="39"/>
  <c r="P134" i="39"/>
  <c r="P132" i="39"/>
  <c r="P133" i="39" s="1"/>
  <c r="P139" i="39"/>
  <c r="P137" i="39"/>
  <c r="P138" i="39" s="1"/>
  <c r="P128" i="39"/>
  <c r="T123" i="39"/>
  <c r="T128" i="39"/>
  <c r="R134" i="39"/>
  <c r="R132" i="39"/>
  <c r="R133" i="39" s="1"/>
  <c r="X128" i="39"/>
  <c r="R139" i="39"/>
  <c r="R137" i="39"/>
  <c r="R138" i="39" s="1"/>
  <c r="T134" i="39"/>
  <c r="T132" i="39"/>
  <c r="T133" i="39" s="1"/>
  <c r="AB128" i="39"/>
  <c r="T139" i="39"/>
  <c r="T137" i="39"/>
  <c r="T138" i="39" s="1"/>
  <c r="X165" i="39"/>
  <c r="X163" i="39"/>
  <c r="X164" i="39" s="1"/>
  <c r="U160" i="39"/>
  <c r="U158" i="39"/>
  <c r="Y154" i="39"/>
  <c r="Q123" i="39"/>
  <c r="U128" i="39"/>
  <c r="U123" i="39"/>
  <c r="Y128" i="39"/>
  <c r="Y123" i="39"/>
  <c r="AC128" i="39"/>
  <c r="V165" i="39"/>
  <c r="V163" i="39"/>
  <c r="V164" i="39" s="1"/>
  <c r="S160" i="39"/>
  <c r="S158" i="39"/>
  <c r="W154" i="39"/>
  <c r="P165" i="39"/>
  <c r="P163" i="39"/>
  <c r="P164" i="39" s="1"/>
  <c r="P160" i="39"/>
  <c r="P158" i="39"/>
  <c r="P154" i="39"/>
  <c r="T165" i="39"/>
  <c r="T163" i="39"/>
  <c r="T164" i="39" s="1"/>
  <c r="T154" i="39"/>
  <c r="W165" i="39"/>
  <c r="W163" i="39"/>
  <c r="W164" i="39" s="1"/>
  <c r="T160" i="39"/>
  <c r="T158" i="39"/>
  <c r="X154" i="39"/>
  <c r="P80" i="39"/>
  <c r="P78" i="39"/>
  <c r="P79" i="39" s="1"/>
  <c r="P69" i="39"/>
  <c r="T80" i="39"/>
  <c r="T78" i="39"/>
  <c r="T79" i="39" s="1"/>
  <c r="S75" i="39"/>
  <c r="S73" i="39"/>
  <c r="S72" i="39" s="1"/>
  <c r="AB69" i="39"/>
  <c r="Y95" i="39"/>
  <c r="R99" i="39"/>
  <c r="R100" i="39" s="1"/>
  <c r="R101" i="39"/>
  <c r="AD106" i="39"/>
  <c r="AD104" i="39"/>
  <c r="AD105" i="39" s="1"/>
  <c r="W101" i="39"/>
  <c r="W99" i="39"/>
  <c r="W100" i="39" s="1"/>
  <c r="AG95" i="39"/>
  <c r="Q78" i="39"/>
  <c r="Q79" i="39" s="1"/>
  <c r="Q69" i="39"/>
  <c r="V104" i="39"/>
  <c r="V105" i="39" s="1"/>
  <c r="W95" i="39"/>
  <c r="AB106" i="39"/>
  <c r="AB104" i="39"/>
  <c r="AB105" i="39" s="1"/>
  <c r="U101" i="39"/>
  <c r="U99" i="39"/>
  <c r="AE95" i="39"/>
  <c r="P106" i="39"/>
  <c r="P104" i="39"/>
  <c r="P105" i="39" s="1"/>
  <c r="P101" i="39"/>
  <c r="P95" i="39"/>
  <c r="P99" i="39"/>
  <c r="W106" i="39"/>
  <c r="W104" i="39"/>
  <c r="W105" i="39" s="1"/>
  <c r="X95" i="39"/>
  <c r="Z106" i="39"/>
  <c r="Z104" i="39"/>
  <c r="Z105" i="39" s="1"/>
  <c r="AB95" i="39"/>
  <c r="V99" i="39"/>
  <c r="AF95" i="39"/>
  <c r="AC106" i="39"/>
  <c r="AC104" i="39"/>
  <c r="AC105" i="39" s="1"/>
  <c r="V101" i="39"/>
  <c r="L78" i="39"/>
  <c r="Q101" i="39"/>
  <c r="Q99" i="39"/>
  <c r="Q100" i="39" s="1"/>
  <c r="U95" i="39"/>
  <c r="AC95" i="39"/>
  <c r="AA106" i="39"/>
  <c r="AA104" i="39"/>
  <c r="AA105" i="39" s="1"/>
  <c r="R80" i="39"/>
  <c r="R78" i="39"/>
  <c r="R79" i="39" s="1"/>
  <c r="Q73" i="39"/>
  <c r="Q75" i="39"/>
  <c r="S69" i="39"/>
  <c r="T75" i="39"/>
  <c r="U78" i="39"/>
  <c r="U79" i="39" s="1"/>
  <c r="AI69" i="39"/>
  <c r="U80" i="39"/>
  <c r="T73" i="39"/>
  <c r="T74" i="39" s="1"/>
  <c r="I72" i="39"/>
  <c r="S95" i="39"/>
  <c r="S106" i="39"/>
  <c r="S104" i="39"/>
  <c r="AA95" i="39"/>
  <c r="Y106" i="39"/>
  <c r="Y104" i="39"/>
  <c r="Y105" i="39" s="1"/>
  <c r="R106" i="39"/>
  <c r="R104" i="39"/>
  <c r="R105" i="39" s="1"/>
  <c r="R95" i="39"/>
  <c r="X106" i="39"/>
  <c r="X104" i="39"/>
  <c r="X105" i="39" s="1"/>
  <c r="S101" i="39"/>
  <c r="S99" i="39"/>
  <c r="Z95" i="39"/>
  <c r="T101" i="39"/>
  <c r="T99" i="39"/>
  <c r="T100" i="39" s="1"/>
  <c r="AD95" i="39"/>
  <c r="P14" i="39"/>
  <c r="P15" i="39" s="1"/>
  <c r="P23" i="39" s="1"/>
  <c r="U16" i="39"/>
  <c r="AA36" i="39"/>
  <c r="Y47" i="39"/>
  <c r="Y45" i="39"/>
  <c r="Y46" i="39" s="1"/>
  <c r="V45" i="39"/>
  <c r="V46" i="39" s="1"/>
  <c r="W36" i="39"/>
  <c r="R21" i="39"/>
  <c r="R19" i="39"/>
  <c r="R20" i="39" s="1"/>
  <c r="Q16" i="39"/>
  <c r="Q14" i="39"/>
  <c r="S10" i="39"/>
  <c r="T16" i="39"/>
  <c r="U21" i="39"/>
  <c r="T14" i="39"/>
  <c r="AI10" i="39"/>
  <c r="U19" i="39"/>
  <c r="U20" i="39" s="1"/>
  <c r="I13" i="39"/>
  <c r="Y36" i="39"/>
  <c r="R40" i="39"/>
  <c r="R41" i="39" s="1"/>
  <c r="R42" i="39"/>
  <c r="AD47" i="39"/>
  <c r="AD45" i="39"/>
  <c r="AD46" i="39" s="1"/>
  <c r="W42" i="39"/>
  <c r="W40" i="39"/>
  <c r="AG36" i="39"/>
  <c r="P47" i="39"/>
  <c r="P45" i="39"/>
  <c r="P46" i="39" s="1"/>
  <c r="P42" i="39"/>
  <c r="P40" i="39"/>
  <c r="P36" i="39"/>
  <c r="W47" i="39"/>
  <c r="W45" i="39"/>
  <c r="W46" i="39" s="1"/>
  <c r="X36" i="39"/>
  <c r="Z47" i="39"/>
  <c r="Z45" i="39"/>
  <c r="Z46" i="39" s="1"/>
  <c r="AB36" i="39"/>
  <c r="V42" i="39"/>
  <c r="V40" i="39"/>
  <c r="AF36" i="39"/>
  <c r="AC47" i="39"/>
  <c r="AC45" i="39"/>
  <c r="AC46" i="39" s="1"/>
  <c r="P21" i="39"/>
  <c r="P19" i="39"/>
  <c r="P20" i="39" s="1"/>
  <c r="P10" i="39"/>
  <c r="T21" i="39"/>
  <c r="T19" i="39"/>
  <c r="T20" i="39" s="1"/>
  <c r="S14" i="39"/>
  <c r="S13" i="39" s="1"/>
  <c r="AB10" i="39"/>
  <c r="S16" i="39"/>
  <c r="L19" i="39"/>
  <c r="AB47" i="39"/>
  <c r="AB45" i="39"/>
  <c r="AB46" i="39" s="1"/>
  <c r="U42" i="39"/>
  <c r="U40" i="39"/>
  <c r="AE36" i="39"/>
  <c r="Q19" i="39"/>
  <c r="Q20" i="39" s="1"/>
  <c r="Q10" i="39"/>
  <c r="AC36" i="39"/>
  <c r="AA47" i="39"/>
  <c r="AA45" i="39"/>
  <c r="AA46" i="39" s="1"/>
  <c r="X47" i="39"/>
  <c r="X45" i="39"/>
  <c r="X46" i="39" s="1"/>
  <c r="S42" i="39"/>
  <c r="S40" i="39"/>
  <c r="Z36" i="39"/>
  <c r="T42" i="39"/>
  <c r="T40" i="39"/>
  <c r="T41" i="39" s="1"/>
  <c r="AD36" i="39"/>
  <c r="U75" i="39" l="1"/>
  <c r="I81" i="39"/>
  <c r="U73" i="39"/>
  <c r="U74" i="39" s="1"/>
  <c r="AN69" i="39"/>
  <c r="P16" i="39"/>
  <c r="Q21" i="39" s="1"/>
  <c r="V19" i="39"/>
  <c r="V20" i="39" s="1"/>
  <c r="K131" i="39"/>
  <c r="K122" i="39"/>
  <c r="AF128" i="39"/>
  <c r="T104" i="39"/>
  <c r="T105" i="39" s="1"/>
  <c r="Q104" i="39"/>
  <c r="Q105" i="39" s="1"/>
  <c r="Q95" i="39"/>
  <c r="X160" i="39"/>
  <c r="Q167" i="39" s="1"/>
  <c r="Q154" i="39"/>
  <c r="Q163" i="39"/>
  <c r="Q164" i="39" s="1"/>
  <c r="Q139" i="39"/>
  <c r="Q137" i="39"/>
  <c r="Q138" i="39" s="1"/>
  <c r="Q134" i="39"/>
  <c r="Q132" i="39"/>
  <c r="Q133" i="39" s="1"/>
  <c r="W128" i="39"/>
  <c r="Q165" i="39"/>
  <c r="AA165" i="39" s="1"/>
  <c r="R10" i="39"/>
  <c r="AA163" i="39"/>
  <c r="AA164" i="39" s="1"/>
  <c r="X158" i="39"/>
  <c r="AB154" i="39"/>
  <c r="S139" i="39"/>
  <c r="S137" i="39"/>
  <c r="S138" i="39" s="1"/>
  <c r="S134" i="39"/>
  <c r="S132" i="39"/>
  <c r="S133" i="39" s="1"/>
  <c r="AA128" i="39"/>
  <c r="AE104" i="39"/>
  <c r="AE105" i="39" s="1"/>
  <c r="X99" i="39"/>
  <c r="X100" i="39" s="1"/>
  <c r="P108" i="39" s="1"/>
  <c r="AH95" i="39"/>
  <c r="S105" i="39"/>
  <c r="P75" i="39"/>
  <c r="R69" i="39"/>
  <c r="P73" i="39"/>
  <c r="P74" i="39" s="1"/>
  <c r="U106" i="39"/>
  <c r="V106" i="39" s="1"/>
  <c r="U104" i="39"/>
  <c r="U105" i="39" s="1"/>
  <c r="V95" i="39"/>
  <c r="R75" i="39"/>
  <c r="S80" i="39"/>
  <c r="AA69" i="39"/>
  <c r="I62" i="39"/>
  <c r="S78" i="39"/>
  <c r="S79" i="39" s="1"/>
  <c r="P83" i="39" s="1"/>
  <c r="R73" i="39"/>
  <c r="R74" i="39" s="1"/>
  <c r="T106" i="39"/>
  <c r="X101" i="39"/>
  <c r="Q108" i="39" s="1"/>
  <c r="AN10" i="39"/>
  <c r="I22" i="39"/>
  <c r="U14" i="39"/>
  <c r="V36" i="39"/>
  <c r="U47" i="39"/>
  <c r="V47" i="39" s="1"/>
  <c r="U45" i="39"/>
  <c r="U46" i="39" s="1"/>
  <c r="R16" i="39"/>
  <c r="Q23" i="39" s="1"/>
  <c r="S19" i="39"/>
  <c r="S20" i="39" s="1"/>
  <c r="R14" i="39"/>
  <c r="AA10" i="39"/>
  <c r="I3" i="39"/>
  <c r="S21" i="39"/>
  <c r="P24" i="39" l="1"/>
  <c r="P11" i="39"/>
  <c r="Q11" i="39" s="1"/>
  <c r="V21" i="39"/>
  <c r="Q24" i="39" s="1"/>
  <c r="K135" i="39"/>
  <c r="L139" i="39"/>
  <c r="U139" i="39"/>
  <c r="AG128" i="39"/>
  <c r="P129" i="39" s="1"/>
  <c r="Q129" i="39" s="1"/>
  <c r="P70" i="39"/>
  <c r="Q70" i="39" s="1"/>
  <c r="U137" i="39"/>
  <c r="U138" i="39" s="1"/>
  <c r="P142" i="39" s="1"/>
  <c r="Q142" i="39"/>
  <c r="U132" i="39"/>
  <c r="U133" i="39" s="1"/>
  <c r="P141" i="39" s="1"/>
  <c r="P96" i="39"/>
  <c r="Q96" i="39" s="1"/>
  <c r="U134" i="39"/>
  <c r="Q141" i="39" s="1"/>
  <c r="P155" i="39"/>
  <c r="Q155" i="39" s="1"/>
  <c r="P168" i="39"/>
  <c r="Q168" i="39"/>
  <c r="AE106" i="39"/>
  <c r="Q109" i="39" s="1"/>
  <c r="P109" i="39"/>
  <c r="P82" i="39"/>
  <c r="Q82" i="39"/>
  <c r="Q80" i="39"/>
  <c r="R155" i="39" l="1"/>
  <c r="B177" i="39" s="1"/>
  <c r="R129" i="39"/>
  <c r="B149" i="39" s="1"/>
  <c r="R11" i="39"/>
  <c r="B31" i="39" s="1"/>
  <c r="R96" i="39"/>
  <c r="R70" i="39"/>
  <c r="B90" i="39" s="1"/>
  <c r="V80" i="39"/>
  <c r="Q83" i="39" s="1"/>
  <c r="M113" i="38" l="1"/>
  <c r="I113" i="38"/>
  <c r="E113" i="38"/>
  <c r="M112" i="38"/>
  <c r="I112" i="38"/>
  <c r="E112" i="38"/>
  <c r="M111" i="38"/>
  <c r="I111" i="38"/>
  <c r="E111" i="38"/>
  <c r="M110" i="38"/>
  <c r="I110" i="38"/>
  <c r="E110" i="38"/>
  <c r="M109" i="38"/>
  <c r="I109" i="38"/>
  <c r="E109" i="38"/>
  <c r="K108" i="38"/>
  <c r="M107" i="38" s="1"/>
  <c r="G108" i="38"/>
  <c r="I108" i="38" s="1"/>
  <c r="C108" i="38"/>
  <c r="E105" i="38" s="1"/>
  <c r="K102" i="38"/>
  <c r="M100" i="38" s="1"/>
  <c r="G102" i="38"/>
  <c r="I101" i="38" s="1"/>
  <c r="E98" i="38"/>
  <c r="M85" i="38"/>
  <c r="I85" i="38"/>
  <c r="E85" i="38"/>
  <c r="M84" i="38"/>
  <c r="I84" i="38"/>
  <c r="E84" i="38"/>
  <c r="M83" i="38"/>
  <c r="I83" i="38"/>
  <c r="E83" i="38"/>
  <c r="M82" i="38"/>
  <c r="I82" i="38"/>
  <c r="E82" i="38"/>
  <c r="M81" i="38"/>
  <c r="I81" i="38"/>
  <c r="E81" i="38"/>
  <c r="M80" i="38"/>
  <c r="I80" i="38"/>
  <c r="E80" i="38"/>
  <c r="K79" i="38"/>
  <c r="M79" i="38" s="1"/>
  <c r="G79" i="38"/>
  <c r="I75" i="38" s="1"/>
  <c r="C79" i="38"/>
  <c r="E79" i="38" s="1"/>
  <c r="K72" i="38"/>
  <c r="M70" i="38" s="1"/>
  <c r="G72" i="38"/>
  <c r="C72" i="38"/>
  <c r="E68" i="38" s="1"/>
  <c r="M56" i="38"/>
  <c r="I56" i="38"/>
  <c r="E56" i="38"/>
  <c r="M55" i="38"/>
  <c r="I55" i="38"/>
  <c r="E55" i="38"/>
  <c r="M54" i="38"/>
  <c r="I54" i="38"/>
  <c r="E54" i="38"/>
  <c r="M53" i="38"/>
  <c r="I53" i="38"/>
  <c r="E53" i="38"/>
  <c r="M52" i="38"/>
  <c r="I52" i="38"/>
  <c r="E52" i="38"/>
  <c r="M51" i="38"/>
  <c r="I51" i="38"/>
  <c r="E51" i="38"/>
  <c r="K50" i="38"/>
  <c r="M44" i="38" s="1"/>
  <c r="G50" i="38"/>
  <c r="I49" i="38" s="1"/>
  <c r="C50" i="38"/>
  <c r="E46" i="38" s="1"/>
  <c r="K43" i="38"/>
  <c r="M41" i="38" s="1"/>
  <c r="G43" i="38"/>
  <c r="I42" i="38" s="1"/>
  <c r="C43" i="38"/>
  <c r="E39" i="38" s="1"/>
  <c r="K19" i="38"/>
  <c r="G19" i="38"/>
  <c r="C19" i="38"/>
  <c r="K18" i="38"/>
  <c r="G18" i="38"/>
  <c r="C18" i="38"/>
  <c r="K17" i="38"/>
  <c r="G17" i="38"/>
  <c r="C17" i="38"/>
  <c r="K16" i="38"/>
  <c r="G16" i="38"/>
  <c r="C16" i="38"/>
  <c r="K15" i="38"/>
  <c r="G15" i="38"/>
  <c r="C15" i="38"/>
  <c r="K14" i="38"/>
  <c r="G14" i="38"/>
  <c r="C14" i="38"/>
  <c r="K12" i="38"/>
  <c r="G12" i="38"/>
  <c r="C12" i="38"/>
  <c r="K11" i="38"/>
  <c r="G11" i="38"/>
  <c r="C11" i="38"/>
  <c r="K10" i="38"/>
  <c r="G10" i="38"/>
  <c r="C10" i="38"/>
  <c r="K9" i="38"/>
  <c r="G9" i="38"/>
  <c r="C9" i="38"/>
  <c r="K8" i="38"/>
  <c r="G8" i="38"/>
  <c r="C8" i="38"/>
  <c r="K7" i="38"/>
  <c r="G7" i="38"/>
  <c r="C7" i="38"/>
  <c r="K35" i="38"/>
  <c r="G35" i="38"/>
  <c r="C35" i="38"/>
  <c r="V34" i="36"/>
  <c r="U34" i="36"/>
  <c r="V33" i="36"/>
  <c r="U33" i="36"/>
  <c r="N29" i="36"/>
  <c r="N28" i="36"/>
  <c r="N27" i="36"/>
  <c r="N26" i="36"/>
  <c r="N25" i="36"/>
  <c r="N24" i="36"/>
  <c r="N23" i="36"/>
  <c r="N22" i="36"/>
  <c r="N21" i="36"/>
  <c r="N20" i="36"/>
  <c r="N18" i="36"/>
  <c r="M40" i="36"/>
  <c r="U17" i="36"/>
  <c r="N17" i="36"/>
  <c r="M39" i="36"/>
  <c r="V16" i="36"/>
  <c r="U16" i="36"/>
  <c r="N16" i="36"/>
  <c r="M38" i="36"/>
  <c r="V15" i="36"/>
  <c r="U15" i="36"/>
  <c r="N15" i="36"/>
  <c r="M37" i="36"/>
  <c r="V14" i="36"/>
  <c r="U14" i="36"/>
  <c r="N14" i="36"/>
  <c r="M36" i="36"/>
  <c r="V13" i="36"/>
  <c r="U13" i="36"/>
  <c r="N13" i="36"/>
  <c r="M35" i="36"/>
  <c r="V12" i="36"/>
  <c r="U12" i="36"/>
  <c r="N12" i="36"/>
  <c r="M34" i="36"/>
  <c r="V11" i="36"/>
  <c r="U11" i="36"/>
  <c r="N11" i="36"/>
  <c r="M33" i="36"/>
  <c r="V10" i="36"/>
  <c r="U10" i="36"/>
  <c r="N10" i="36"/>
  <c r="M32" i="36"/>
  <c r="N9" i="36"/>
  <c r="X34" i="35"/>
  <c r="V34" i="35"/>
  <c r="T34" i="35"/>
  <c r="R34" i="35"/>
  <c r="P34" i="35"/>
  <c r="X33" i="35"/>
  <c r="V33" i="35"/>
  <c r="T33" i="35"/>
  <c r="R33" i="35"/>
  <c r="P33" i="35"/>
  <c r="X32" i="35"/>
  <c r="V32" i="35"/>
  <c r="T32" i="35"/>
  <c r="R32" i="35"/>
  <c r="P32" i="35"/>
  <c r="G20" i="35"/>
  <c r="G19" i="35"/>
  <c r="X21" i="35"/>
  <c r="X15" i="35" s="1"/>
  <c r="X9" i="35" s="1"/>
  <c r="V21" i="35"/>
  <c r="V15" i="35" s="1"/>
  <c r="T21" i="35"/>
  <c r="T15" i="35" s="1"/>
  <c r="R21" i="35"/>
  <c r="R15" i="35" s="1"/>
  <c r="AB21" i="35"/>
  <c r="AB15" i="35" s="1"/>
  <c r="N21" i="35"/>
  <c r="N15" i="35" s="1"/>
  <c r="L21" i="35"/>
  <c r="L15" i="35" s="1"/>
  <c r="L12" i="35" s="1"/>
  <c r="J21" i="35"/>
  <c r="J15" i="35" s="1"/>
  <c r="H21" i="35"/>
  <c r="H15" i="35" s="1"/>
  <c r="X20" i="35"/>
  <c r="X14" i="35" s="1"/>
  <c r="X8" i="35" s="1"/>
  <c r="V20" i="35"/>
  <c r="V14" i="35" s="1"/>
  <c r="T20" i="35"/>
  <c r="T14" i="35" s="1"/>
  <c r="T8" i="35" s="1"/>
  <c r="R20" i="35"/>
  <c r="R14" i="35" s="1"/>
  <c r="AB20" i="35"/>
  <c r="AB14" i="35" s="1"/>
  <c r="N20" i="35"/>
  <c r="N14" i="35" s="1"/>
  <c r="L20" i="35"/>
  <c r="L14" i="35" s="1"/>
  <c r="L8" i="35" s="1"/>
  <c r="J20" i="35"/>
  <c r="J14" i="35" s="1"/>
  <c r="J11" i="35" s="1"/>
  <c r="H20" i="35"/>
  <c r="H14" i="35" s="1"/>
  <c r="H8" i="35" s="1"/>
  <c r="X19" i="35"/>
  <c r="X13" i="35" s="1"/>
  <c r="X7" i="35" s="1"/>
  <c r="V19" i="35"/>
  <c r="V13" i="35" s="1"/>
  <c r="V7" i="35" s="1"/>
  <c r="T19" i="35"/>
  <c r="T13" i="35" s="1"/>
  <c r="R19" i="35"/>
  <c r="R13" i="35" s="1"/>
  <c r="R7" i="35" s="1"/>
  <c r="AB19" i="35"/>
  <c r="AB13" i="35" s="1"/>
  <c r="AB7" i="35" s="1"/>
  <c r="N19" i="35"/>
  <c r="N13" i="35" s="1"/>
  <c r="N7" i="35" s="1"/>
  <c r="L19" i="35"/>
  <c r="L13" i="35" s="1"/>
  <c r="J19" i="35"/>
  <c r="J13" i="35" s="1"/>
  <c r="J7" i="35" s="1"/>
  <c r="H19" i="35"/>
  <c r="H13" i="35" s="1"/>
  <c r="F29" i="35"/>
  <c r="N59" i="33"/>
  <c r="K59" i="33"/>
  <c r="H59" i="33"/>
  <c r="N58" i="33"/>
  <c r="K58" i="33"/>
  <c r="H58" i="33"/>
  <c r="N57" i="33"/>
  <c r="K57" i="33"/>
  <c r="H57" i="33"/>
  <c r="N56" i="33"/>
  <c r="K56" i="33"/>
  <c r="H56" i="33"/>
  <c r="N53" i="33"/>
  <c r="K53" i="33"/>
  <c r="H53" i="33"/>
  <c r="N52" i="33"/>
  <c r="K52" i="33"/>
  <c r="H52" i="33"/>
  <c r="N51" i="33"/>
  <c r="K51" i="33"/>
  <c r="H51" i="33"/>
  <c r="N50" i="33"/>
  <c r="K50" i="33"/>
  <c r="H50" i="33"/>
  <c r="V48" i="33"/>
  <c r="U48" i="33"/>
  <c r="Q48" i="33"/>
  <c r="N48" i="33"/>
  <c r="K48" i="33"/>
  <c r="H48" i="33"/>
  <c r="V47" i="33"/>
  <c r="U47" i="33"/>
  <c r="Q47" i="33"/>
  <c r="N47" i="33"/>
  <c r="K47" i="33"/>
  <c r="H47" i="33"/>
  <c r="V46" i="33"/>
  <c r="U46" i="33"/>
  <c r="Q46" i="33"/>
  <c r="N46" i="33"/>
  <c r="K46" i="33"/>
  <c r="H46" i="33"/>
  <c r="V45" i="33"/>
  <c r="U45" i="33"/>
  <c r="Q45" i="33"/>
  <c r="N45" i="33"/>
  <c r="K45" i="33"/>
  <c r="H45" i="33"/>
  <c r="V43" i="33"/>
  <c r="U43" i="33"/>
  <c r="Q43" i="33"/>
  <c r="N43" i="33"/>
  <c r="K43" i="33"/>
  <c r="H43" i="33"/>
  <c r="V42" i="33"/>
  <c r="U42" i="33"/>
  <c r="Q42" i="33"/>
  <c r="N42" i="33"/>
  <c r="K42" i="33"/>
  <c r="H42" i="33"/>
  <c r="V41" i="33"/>
  <c r="U41" i="33"/>
  <c r="Q41" i="33"/>
  <c r="N41" i="33"/>
  <c r="S34" i="33"/>
  <c r="L34" i="33"/>
  <c r="O33" i="33"/>
  <c r="I33" i="33"/>
  <c r="S37" i="33"/>
  <c r="S25" i="33" s="1"/>
  <c r="S59" i="33" s="1"/>
  <c r="U59" i="33" s="1"/>
  <c r="O37" i="33"/>
  <c r="L37" i="33"/>
  <c r="I37" i="33"/>
  <c r="F37" i="33"/>
  <c r="S36" i="33"/>
  <c r="S24" i="33" s="1"/>
  <c r="O36" i="33"/>
  <c r="L36" i="33"/>
  <c r="I36" i="33"/>
  <c r="F36" i="33"/>
  <c r="S35" i="33"/>
  <c r="S23" i="33" s="1"/>
  <c r="S57" i="33" s="1"/>
  <c r="U57" i="33" s="1"/>
  <c r="O35" i="33"/>
  <c r="L35" i="33"/>
  <c r="I35" i="33"/>
  <c r="F35" i="33"/>
  <c r="V31" i="33"/>
  <c r="U31" i="33"/>
  <c r="Q31" i="33"/>
  <c r="N31" i="33"/>
  <c r="K31" i="33"/>
  <c r="H31" i="33"/>
  <c r="V30" i="33"/>
  <c r="U30" i="33"/>
  <c r="Q30" i="33"/>
  <c r="N30" i="33"/>
  <c r="K30" i="33"/>
  <c r="H30" i="33"/>
  <c r="V29" i="33"/>
  <c r="U29" i="33"/>
  <c r="Q29" i="33"/>
  <c r="N29" i="33"/>
  <c r="K29" i="33"/>
  <c r="H29" i="33"/>
  <c r="E52" i="33"/>
  <c r="E50" i="33"/>
  <c r="E55" i="33"/>
  <c r="E73" i="38" l="1"/>
  <c r="R11" i="35"/>
  <c r="U33" i="33"/>
  <c r="Q33" i="33"/>
  <c r="N33" i="33"/>
  <c r="V33" i="33"/>
  <c r="M106" i="38"/>
  <c r="I103" i="38"/>
  <c r="I104" i="38"/>
  <c r="I105" i="38"/>
  <c r="I99" i="38"/>
  <c r="M23" i="38"/>
  <c r="M77" i="38"/>
  <c r="I26" i="38"/>
  <c r="I74" i="38"/>
  <c r="I87" i="38"/>
  <c r="I89" i="38" s="1"/>
  <c r="I78" i="38"/>
  <c r="M66" i="38"/>
  <c r="M68" i="38"/>
  <c r="E66" i="38"/>
  <c r="E70" i="38"/>
  <c r="M25" i="38"/>
  <c r="I24" i="38"/>
  <c r="I45" i="38"/>
  <c r="I47" i="38"/>
  <c r="E22" i="38"/>
  <c r="M21" i="38"/>
  <c r="M48" i="38"/>
  <c r="E21" i="38"/>
  <c r="M37" i="38"/>
  <c r="AB10" i="35"/>
  <c r="T11" i="35"/>
  <c r="R10" i="35"/>
  <c r="N10" i="35"/>
  <c r="S20" i="33"/>
  <c r="L10" i="35"/>
  <c r="L7" i="35"/>
  <c r="G21" i="35"/>
  <c r="G15" i="35" s="1"/>
  <c r="G12" i="35" s="1"/>
  <c r="M20" i="36"/>
  <c r="V8" i="36"/>
  <c r="V17" i="36"/>
  <c r="M86" i="38"/>
  <c r="E75" i="38"/>
  <c r="H11" i="35"/>
  <c r="I67" i="38"/>
  <c r="M75" i="38"/>
  <c r="I97" i="38"/>
  <c r="L11" i="35"/>
  <c r="G14" i="35"/>
  <c r="G11" i="35" s="1"/>
  <c r="Z19" i="35"/>
  <c r="Z13" i="35" s="1"/>
  <c r="P20" i="35"/>
  <c r="P14" i="35" s="1"/>
  <c r="Z20" i="35"/>
  <c r="Z14" i="35" s="1"/>
  <c r="Z8" i="35" s="1"/>
  <c r="I22" i="38"/>
  <c r="E25" i="38"/>
  <c r="E86" i="38"/>
  <c r="M73" i="38"/>
  <c r="E77" i="38"/>
  <c r="M87" i="38"/>
  <c r="M89" i="38" s="1"/>
  <c r="E104" i="38"/>
  <c r="I107" i="38"/>
  <c r="AB11" i="35"/>
  <c r="AB8" i="35"/>
  <c r="T12" i="35"/>
  <c r="T9" i="35"/>
  <c r="L9" i="35"/>
  <c r="F11" i="35"/>
  <c r="V11" i="35"/>
  <c r="P19" i="35"/>
  <c r="P13" i="35" s="1"/>
  <c r="P10" i="35" s="1"/>
  <c r="P21" i="35"/>
  <c r="P15" i="35" s="1"/>
  <c r="P12" i="35" s="1"/>
  <c r="X11" i="35"/>
  <c r="I21" i="33"/>
  <c r="H10" i="35"/>
  <c r="H7" i="35"/>
  <c r="N11" i="35"/>
  <c r="N8" i="35"/>
  <c r="H12" i="35"/>
  <c r="H9" i="35"/>
  <c r="T10" i="35"/>
  <c r="T7" i="35"/>
  <c r="I40" i="38"/>
  <c r="I71" i="38"/>
  <c r="R8" i="35"/>
  <c r="X12" i="35"/>
  <c r="F23" i="35"/>
  <c r="F33" i="35"/>
  <c r="M31" i="36"/>
  <c r="V32" i="36" s="1"/>
  <c r="E23" i="38"/>
  <c r="G13" i="38"/>
  <c r="I13" i="38" s="1"/>
  <c r="I66" i="38"/>
  <c r="M67" i="38"/>
  <c r="E69" i="38"/>
  <c r="I70" i="38"/>
  <c r="M71" i="38"/>
  <c r="I72" i="38"/>
  <c r="I73" i="38"/>
  <c r="M74" i="38"/>
  <c r="E76" i="38"/>
  <c r="I77" i="38"/>
  <c r="M78" i="38"/>
  <c r="I79" i="38"/>
  <c r="E103" i="38"/>
  <c r="M105" i="38"/>
  <c r="E107" i="38"/>
  <c r="E108" i="38"/>
  <c r="M108" i="38"/>
  <c r="E42" i="33"/>
  <c r="J8" i="35"/>
  <c r="V8" i="35"/>
  <c r="V10" i="35"/>
  <c r="X10" i="35"/>
  <c r="G13" i="35"/>
  <c r="F20" i="35"/>
  <c r="Z21" i="35"/>
  <c r="Z15" i="35" s="1"/>
  <c r="I21" i="38"/>
  <c r="G20" i="38"/>
  <c r="I20" i="38" s="1"/>
  <c r="I38" i="38"/>
  <c r="I69" i="38"/>
  <c r="I76" i="38"/>
  <c r="I86" i="38"/>
  <c r="M104" i="38"/>
  <c r="E106" i="38"/>
  <c r="F26" i="35"/>
  <c r="E67" i="38"/>
  <c r="I68" i="38"/>
  <c r="M69" i="38"/>
  <c r="E71" i="38"/>
  <c r="E72" i="38"/>
  <c r="M72" i="38"/>
  <c r="E74" i="38"/>
  <c r="M76" i="38"/>
  <c r="E78" i="38"/>
  <c r="E87" i="38"/>
  <c r="E89" i="38" s="1"/>
  <c r="M103" i="38"/>
  <c r="I106" i="38"/>
  <c r="S22" i="33"/>
  <c r="F21" i="33"/>
  <c r="F11" i="33" s="1"/>
  <c r="O21" i="33"/>
  <c r="K28" i="33"/>
  <c r="Q28" i="33"/>
  <c r="H28" i="33"/>
  <c r="N28" i="33"/>
  <c r="V28" i="33"/>
  <c r="U28" i="33"/>
  <c r="E58" i="38"/>
  <c r="E43" i="38"/>
  <c r="E42" i="38"/>
  <c r="E40" i="38"/>
  <c r="E38" i="38"/>
  <c r="M58" i="38"/>
  <c r="M43" i="38"/>
  <c r="M42" i="38"/>
  <c r="M40" i="38"/>
  <c r="M38" i="38"/>
  <c r="E50" i="38"/>
  <c r="E49" i="38"/>
  <c r="E47" i="38"/>
  <c r="E45" i="38"/>
  <c r="M50" i="38"/>
  <c r="M49" i="38"/>
  <c r="M47" i="38"/>
  <c r="M45" i="38"/>
  <c r="M57" i="38"/>
  <c r="C64" i="38"/>
  <c r="K95" i="38"/>
  <c r="E115" i="38"/>
  <c r="E117" i="38" s="1"/>
  <c r="E102" i="38"/>
  <c r="E101" i="38"/>
  <c r="E99" i="38"/>
  <c r="E97" i="38"/>
  <c r="M115" i="38"/>
  <c r="M117" i="38" s="1"/>
  <c r="M102" i="38"/>
  <c r="M101" i="38"/>
  <c r="M99" i="38"/>
  <c r="M97" i="38"/>
  <c r="M114" i="38"/>
  <c r="G95" i="38"/>
  <c r="G64" i="38"/>
  <c r="M22" i="38"/>
  <c r="I23" i="38"/>
  <c r="E24" i="38"/>
  <c r="M24" i="38"/>
  <c r="I25" i="38"/>
  <c r="E26" i="38"/>
  <c r="M26" i="38"/>
  <c r="C13" i="38"/>
  <c r="K13" i="38"/>
  <c r="C20" i="38"/>
  <c r="E17" i="38" s="1"/>
  <c r="K20" i="38"/>
  <c r="E37" i="38"/>
  <c r="M39" i="38"/>
  <c r="E41" i="38"/>
  <c r="I57" i="38"/>
  <c r="I43" i="38"/>
  <c r="I41" i="38"/>
  <c r="I39" i="38"/>
  <c r="I37" i="38"/>
  <c r="E44" i="38"/>
  <c r="M46" i="38"/>
  <c r="E48" i="38"/>
  <c r="I50" i="38"/>
  <c r="I48" i="38"/>
  <c r="I46" i="38"/>
  <c r="I44" i="38"/>
  <c r="E57" i="38"/>
  <c r="I58" i="38"/>
  <c r="K64" i="38"/>
  <c r="C95" i="38"/>
  <c r="M98" i="38"/>
  <c r="E100" i="38"/>
  <c r="I114" i="38"/>
  <c r="I102" i="38"/>
  <c r="I100" i="38"/>
  <c r="I98" i="38"/>
  <c r="E114" i="38"/>
  <c r="I115" i="38"/>
  <c r="I117" i="38" s="1"/>
  <c r="M21" i="36"/>
  <c r="M22" i="36"/>
  <c r="M23" i="36"/>
  <c r="M24" i="36"/>
  <c r="M25" i="36"/>
  <c r="M26" i="36"/>
  <c r="M27" i="36"/>
  <c r="M28" i="36"/>
  <c r="M29" i="36"/>
  <c r="J9" i="35"/>
  <c r="J12" i="35"/>
  <c r="N9" i="35"/>
  <c r="N12" i="35"/>
  <c r="F32" i="35"/>
  <c r="F19" i="35"/>
  <c r="F16" i="35"/>
  <c r="F10" i="35"/>
  <c r="F28" i="35"/>
  <c r="F25" i="35"/>
  <c r="F22" i="35"/>
  <c r="F13" i="35"/>
  <c r="F34" i="35"/>
  <c r="F21" i="35"/>
  <c r="F18" i="35"/>
  <c r="F12" i="35"/>
  <c r="F30" i="35"/>
  <c r="F27" i="35"/>
  <c r="F24" i="35"/>
  <c r="F15" i="35"/>
  <c r="J10" i="35"/>
  <c r="AB9" i="35"/>
  <c r="AB12" i="35"/>
  <c r="R9" i="35"/>
  <c r="R12" i="35"/>
  <c r="V9" i="35"/>
  <c r="V12" i="35"/>
  <c r="F14" i="35"/>
  <c r="F17" i="35"/>
  <c r="E57" i="33"/>
  <c r="E41" i="33"/>
  <c r="E35" i="33"/>
  <c r="E59" i="33"/>
  <c r="E43" i="33"/>
  <c r="E37" i="33"/>
  <c r="E20" i="33"/>
  <c r="E18" i="33"/>
  <c r="E29" i="33"/>
  <c r="E31" i="33"/>
  <c r="H34" i="33"/>
  <c r="F22" i="33"/>
  <c r="L22" i="33"/>
  <c r="H35" i="33"/>
  <c r="F23" i="33"/>
  <c r="N35" i="33"/>
  <c r="L23" i="33"/>
  <c r="H36" i="33"/>
  <c r="F24" i="33"/>
  <c r="N36" i="33"/>
  <c r="L24" i="33"/>
  <c r="S58" i="33"/>
  <c r="U58" i="33" s="1"/>
  <c r="S19" i="33"/>
  <c r="H37" i="33"/>
  <c r="F25" i="33"/>
  <c r="N37" i="33"/>
  <c r="L25" i="33"/>
  <c r="K41" i="33"/>
  <c r="U40" i="33"/>
  <c r="K40" i="33"/>
  <c r="Q40" i="33"/>
  <c r="V40" i="33"/>
  <c r="E46" i="33"/>
  <c r="E51" i="33"/>
  <c r="E53" i="33"/>
  <c r="E49" i="33"/>
  <c r="E39" i="33"/>
  <c r="E33" i="33"/>
  <c r="E56" i="33"/>
  <c r="E45" i="33"/>
  <c r="E40" i="33"/>
  <c r="E34" i="33"/>
  <c r="E58" i="33"/>
  <c r="E47" i="33"/>
  <c r="E36" i="33"/>
  <c r="E30" i="33"/>
  <c r="E16" i="33"/>
  <c r="E17" i="33"/>
  <c r="S18" i="33"/>
  <c r="E19" i="33"/>
  <c r="E21" i="33"/>
  <c r="E22" i="33"/>
  <c r="E23" i="33"/>
  <c r="E24" i="33"/>
  <c r="E25" i="33"/>
  <c r="E27" i="33"/>
  <c r="E28" i="33"/>
  <c r="I34" i="33"/>
  <c r="O34" i="33"/>
  <c r="U35" i="33"/>
  <c r="I23" i="33"/>
  <c r="Q35" i="33"/>
  <c r="O23" i="33"/>
  <c r="V35" i="33"/>
  <c r="U36" i="33"/>
  <c r="K36" i="33"/>
  <c r="I24" i="33"/>
  <c r="Q36" i="33"/>
  <c r="O24" i="33"/>
  <c r="V36" i="33"/>
  <c r="U37" i="33"/>
  <c r="K37" i="33"/>
  <c r="I25" i="33"/>
  <c r="Q37" i="33"/>
  <c r="O25" i="33"/>
  <c r="V37" i="33"/>
  <c r="H40" i="33"/>
  <c r="N40" i="33"/>
  <c r="H41" i="33"/>
  <c r="E44" i="33"/>
  <c r="E48" i="33"/>
  <c r="Q21" i="33" l="1"/>
  <c r="N21" i="33"/>
  <c r="O16" i="33"/>
  <c r="O11" i="33"/>
  <c r="I16" i="33"/>
  <c r="I11" i="33"/>
  <c r="V31" i="36"/>
  <c r="I15" i="38"/>
  <c r="I17" i="38"/>
  <c r="I19" i="38"/>
  <c r="I27" i="38"/>
  <c r="I12" i="38"/>
  <c r="I29" i="38"/>
  <c r="I31" i="38" s="1"/>
  <c r="I10" i="38"/>
  <c r="I7" i="38"/>
  <c r="Z11" i="35"/>
  <c r="P9" i="35"/>
  <c r="P7" i="35"/>
  <c r="G9" i="35"/>
  <c r="F16" i="33"/>
  <c r="G8" i="35"/>
  <c r="E18" i="38"/>
  <c r="V9" i="36"/>
  <c r="E19" i="38"/>
  <c r="Z10" i="35"/>
  <c r="Z7" i="35"/>
  <c r="G7" i="35"/>
  <c r="G10" i="35"/>
  <c r="I18" i="38"/>
  <c r="I11" i="38"/>
  <c r="I14" i="38"/>
  <c r="P8" i="35"/>
  <c r="P11" i="35"/>
  <c r="I9" i="38"/>
  <c r="Z12" i="35"/>
  <c r="Z9" i="35"/>
  <c r="I16" i="38"/>
  <c r="I8" i="38"/>
  <c r="S56" i="33"/>
  <c r="U56" i="33" s="1"/>
  <c r="S17" i="33"/>
  <c r="I60" i="38"/>
  <c r="I91" i="38"/>
  <c r="M20" i="38"/>
  <c r="M14" i="38"/>
  <c r="M16" i="38"/>
  <c r="E91" i="38"/>
  <c r="E60" i="38"/>
  <c r="E20" i="38"/>
  <c r="E15" i="38"/>
  <c r="E14" i="38"/>
  <c r="M18" i="38"/>
  <c r="E16" i="38"/>
  <c r="M29" i="38"/>
  <c r="M31" i="38" s="1"/>
  <c r="M27" i="38"/>
  <c r="M13" i="38"/>
  <c r="M12" i="38"/>
  <c r="M11" i="38"/>
  <c r="M10" i="38"/>
  <c r="M9" i="38"/>
  <c r="M8" i="38"/>
  <c r="M7" i="38"/>
  <c r="E29" i="38"/>
  <c r="E31" i="38" s="1"/>
  <c r="E27" i="38"/>
  <c r="E13" i="38"/>
  <c r="E12" i="38"/>
  <c r="E11" i="38"/>
  <c r="E10" i="38"/>
  <c r="E9" i="38"/>
  <c r="E8" i="38"/>
  <c r="E7" i="38"/>
  <c r="M91" i="38"/>
  <c r="M60" i="38"/>
  <c r="M19" i="38"/>
  <c r="M17" i="38"/>
  <c r="M15" i="38"/>
  <c r="Q25" i="33"/>
  <c r="O20" i="33"/>
  <c r="O15" i="33"/>
  <c r="V25" i="33"/>
  <c r="K25" i="33"/>
  <c r="I20" i="33"/>
  <c r="I15" i="33"/>
  <c r="U25" i="33"/>
  <c r="O19" i="33"/>
  <c r="Q24" i="33"/>
  <c r="O14" i="33"/>
  <c r="V24" i="33"/>
  <c r="I19" i="33"/>
  <c r="K24" i="33"/>
  <c r="U24" i="33"/>
  <c r="I14" i="33"/>
  <c r="Q23" i="33"/>
  <c r="O18" i="33"/>
  <c r="O13" i="33"/>
  <c r="V23" i="33"/>
  <c r="I18" i="33"/>
  <c r="I13" i="33"/>
  <c r="U23" i="33"/>
  <c r="U34" i="33"/>
  <c r="K34" i="33"/>
  <c r="I22" i="33"/>
  <c r="N22" i="33" s="1"/>
  <c r="V34" i="33"/>
  <c r="L15" i="33"/>
  <c r="N25" i="33"/>
  <c r="L20" i="33"/>
  <c r="F15" i="33"/>
  <c r="H25" i="33"/>
  <c r="F20" i="33"/>
  <c r="L19" i="33"/>
  <c r="N24" i="33"/>
  <c r="L14" i="33"/>
  <c r="H24" i="33"/>
  <c r="F19" i="33"/>
  <c r="F14" i="33"/>
  <c r="L18" i="33"/>
  <c r="L13" i="33"/>
  <c r="N23" i="33"/>
  <c r="F18" i="33"/>
  <c r="F13" i="33"/>
  <c r="H23" i="33"/>
  <c r="L17" i="33"/>
  <c r="L12" i="33"/>
  <c r="H22" i="33"/>
  <c r="F17" i="33"/>
  <c r="F12" i="33"/>
  <c r="H12" i="33" s="1"/>
  <c r="K35" i="33"/>
  <c r="Q34" i="33"/>
  <c r="O22" i="33"/>
  <c r="N34" i="33"/>
  <c r="Q11" i="33" l="1"/>
  <c r="N11" i="33"/>
  <c r="U16" i="33"/>
  <c r="Q16" i="33"/>
  <c r="N16" i="33"/>
  <c r="H17" i="33"/>
  <c r="N19" i="33"/>
  <c r="N15" i="33"/>
  <c r="N13" i="33"/>
  <c r="H18" i="33"/>
  <c r="H14" i="33"/>
  <c r="H20" i="33"/>
  <c r="K14" i="33"/>
  <c r="H15" i="33"/>
  <c r="U18" i="33"/>
  <c r="Q18" i="33"/>
  <c r="U20" i="33"/>
  <c r="K20" i="33"/>
  <c r="Q20" i="33"/>
  <c r="Q22" i="33"/>
  <c r="O17" i="33"/>
  <c r="O12" i="33"/>
  <c r="H13" i="33"/>
  <c r="N18" i="33"/>
  <c r="H19" i="33"/>
  <c r="N14" i="33"/>
  <c r="N20" i="33"/>
  <c r="V22" i="33"/>
  <c r="K22" i="33"/>
  <c r="U22" i="33"/>
  <c r="I17" i="33"/>
  <c r="K18" i="33" s="1"/>
  <c r="I12" i="33"/>
  <c r="K12" i="33" s="1"/>
  <c r="K23" i="33"/>
  <c r="Q13" i="33"/>
  <c r="U19" i="33"/>
  <c r="K19" i="33"/>
  <c r="Q14" i="33"/>
  <c r="Q19" i="33"/>
  <c r="K15" i="33"/>
  <c r="Q15" i="33"/>
  <c r="Q17" i="33" l="1"/>
  <c r="N12" i="33"/>
  <c r="K13" i="33"/>
  <c r="U17" i="33"/>
  <c r="K17" i="33"/>
  <c r="Q12" i="33"/>
  <c r="N17" i="33"/>
  <c r="T36" i="39" l="1"/>
  <c r="S47" i="39" l="1"/>
  <c r="S36" i="39"/>
  <c r="S45" i="39"/>
  <c r="R45" i="39"/>
  <c r="R46" i="39" s="1"/>
  <c r="R47" i="39"/>
  <c r="R36" i="39"/>
  <c r="AH35" i="39"/>
  <c r="Q40" i="39"/>
  <c r="Q41" i="39" s="1"/>
  <c r="P49" i="39" s="1"/>
  <c r="Q35" i="39"/>
  <c r="Q42" i="39"/>
  <c r="U36" i="39"/>
  <c r="T45" i="39"/>
  <c r="T46" i="39" s="1"/>
  <c r="S46" i="39" l="1"/>
  <c r="X42" i="39"/>
  <c r="Q49" i="39" s="1"/>
  <c r="AE45" i="39"/>
  <c r="AE46" i="39" s="1"/>
  <c r="X40" i="39"/>
  <c r="AH36" i="39"/>
  <c r="Q36" i="39"/>
  <c r="P37" i="39" s="1"/>
  <c r="Q37" i="39" s="1"/>
  <c r="R37" i="39" s="1"/>
  <c r="B59" i="39" s="1"/>
  <c r="Q47" i="39"/>
  <c r="Q45" i="39"/>
  <c r="Q46" i="39" s="1"/>
  <c r="P50" i="39" s="1"/>
  <c r="T47" i="39" l="1"/>
  <c r="AE47" i="39" l="1"/>
  <c r="Q50" i="39" s="1"/>
</calcChain>
</file>

<file path=xl/sharedStrings.xml><?xml version="1.0" encoding="utf-8"?>
<sst xmlns="http://schemas.openxmlformats.org/spreadsheetml/2006/main" count="4454" uniqueCount="1227">
  <si>
    <t>年</t>
  </si>
  <si>
    <t>度</t>
  </si>
  <si>
    <t>年度末現在</t>
  </si>
  <si>
    <t>世帯</t>
  </si>
  <si>
    <t>％</t>
  </si>
  <si>
    <t>人</t>
  </si>
  <si>
    <t>都内分再掲</t>
  </si>
  <si>
    <t>多摩地区</t>
  </si>
  <si>
    <t>島しょ地区</t>
  </si>
  <si>
    <t xml:space="preserve">    　－</t>
  </si>
  <si>
    <t>１  一般状況</t>
    <rPh sb="3" eb="5">
      <t>イッパン</t>
    </rPh>
    <rPh sb="5" eb="7">
      <t>ジョウキョウ</t>
    </rPh>
    <phoneticPr fontId="27"/>
  </si>
  <si>
    <t>（１）保険者数及び被保険者数</t>
    <rPh sb="6" eb="7">
      <t>スウ</t>
    </rPh>
    <rPh sb="13" eb="14">
      <t>スウ</t>
    </rPh>
    <phoneticPr fontId="27"/>
  </si>
  <si>
    <t>年   度</t>
  </si>
  <si>
    <t>都  計</t>
  </si>
  <si>
    <t xml:space="preserve">  組  合</t>
  </si>
  <si>
    <t>特別区</t>
  </si>
  <si>
    <t>市町村</t>
  </si>
  <si>
    <t>多 摩</t>
  </si>
  <si>
    <t>島しょ</t>
  </si>
  <si>
    <t>＜東京都計＞</t>
  </si>
  <si>
    <t>異 動 事 由</t>
  </si>
  <si>
    <t>転      入</t>
  </si>
  <si>
    <t>増</t>
  </si>
  <si>
    <t>社保離脱</t>
  </si>
  <si>
    <t>加</t>
  </si>
  <si>
    <t>生保廃止</t>
  </si>
  <si>
    <t>内</t>
  </si>
  <si>
    <t>出      生</t>
  </si>
  <si>
    <t>訳</t>
  </si>
  <si>
    <t>そ の 他</t>
  </si>
  <si>
    <t>計</t>
  </si>
  <si>
    <t>転      出</t>
  </si>
  <si>
    <t>減</t>
  </si>
  <si>
    <t>社保加入</t>
  </si>
  <si>
    <t>少</t>
  </si>
  <si>
    <t>生保開始</t>
  </si>
  <si>
    <t>死      亡</t>
  </si>
  <si>
    <t>転出入差</t>
  </si>
  <si>
    <t>社  保  差</t>
  </si>
  <si>
    <t>生  保  差</t>
  </si>
  <si>
    <t>生  死  差</t>
  </si>
  <si>
    <t>差</t>
  </si>
  <si>
    <t>その他差</t>
  </si>
  <si>
    <t>計差</t>
  </si>
  <si>
    <t>増   減   計</t>
  </si>
  <si>
    <t>年間平均被保数</t>
  </si>
  <si>
    <t xml:space="preserve">＜特別区＞ </t>
  </si>
  <si>
    <t xml:space="preserve">＜市町村＞ </t>
  </si>
  <si>
    <t xml:space="preserve"> (2) 被保険者の異動状況</t>
  </si>
  <si>
    <t>年度</t>
    <rPh sb="0" eb="2">
      <t>ネンド</t>
    </rPh>
    <phoneticPr fontId="35"/>
  </si>
  <si>
    <t>区分</t>
    <rPh sb="0" eb="2">
      <t>クブン</t>
    </rPh>
    <phoneticPr fontId="35"/>
  </si>
  <si>
    <t>決算額(円)</t>
    <rPh sb="0" eb="2">
      <t>ケッサン</t>
    </rPh>
    <rPh sb="2" eb="3">
      <t>ガク</t>
    </rPh>
    <rPh sb="4" eb="5">
      <t>エン</t>
    </rPh>
    <phoneticPr fontId="35"/>
  </si>
  <si>
    <t>構成比（％）</t>
    <rPh sb="0" eb="3">
      <t>コウセイヒ</t>
    </rPh>
    <phoneticPr fontId="35"/>
  </si>
  <si>
    <t>事業費納付金等</t>
    <rPh sb="0" eb="3">
      <t>ジギョウヒ</t>
    </rPh>
    <rPh sb="3" eb="6">
      <t>ノウフキン</t>
    </rPh>
    <rPh sb="6" eb="7">
      <t>トウ</t>
    </rPh>
    <phoneticPr fontId="35"/>
  </si>
  <si>
    <t>国庫支出金</t>
    <rPh sb="0" eb="2">
      <t>コッコ</t>
    </rPh>
    <rPh sb="2" eb="5">
      <t>シシュツキン</t>
    </rPh>
    <phoneticPr fontId="35"/>
  </si>
  <si>
    <t>療養給付費等交付金</t>
    <rPh sb="0" eb="2">
      <t>リョウヨウ</t>
    </rPh>
    <rPh sb="2" eb="4">
      <t>キュウフ</t>
    </rPh>
    <rPh sb="4" eb="5">
      <t>ヒ</t>
    </rPh>
    <rPh sb="5" eb="6">
      <t>トウ</t>
    </rPh>
    <rPh sb="6" eb="9">
      <t>コウフキン</t>
    </rPh>
    <phoneticPr fontId="35"/>
  </si>
  <si>
    <t>前期高齢者交付金</t>
    <rPh sb="0" eb="2">
      <t>ゼンキ</t>
    </rPh>
    <rPh sb="2" eb="5">
      <t>コウレイシャ</t>
    </rPh>
    <rPh sb="5" eb="8">
      <t>コウフキン</t>
    </rPh>
    <phoneticPr fontId="35"/>
  </si>
  <si>
    <t>特別高額医療費共同事業交付金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コウフキン</t>
    </rPh>
    <phoneticPr fontId="35"/>
  </si>
  <si>
    <t>一般会計繰入金</t>
    <rPh sb="0" eb="2">
      <t>イッパン</t>
    </rPh>
    <rPh sb="2" eb="4">
      <t>カイケイ</t>
    </rPh>
    <rPh sb="4" eb="7">
      <t>クリイレキン</t>
    </rPh>
    <phoneticPr fontId="35"/>
  </si>
  <si>
    <t>保険給付費等交付金返還金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ヘンカンキン</t>
    </rPh>
    <phoneticPr fontId="35"/>
  </si>
  <si>
    <t>基金繰入金</t>
    <rPh sb="0" eb="2">
      <t>キキン</t>
    </rPh>
    <rPh sb="2" eb="4">
      <t>クリイレ</t>
    </rPh>
    <rPh sb="4" eb="5">
      <t>キン</t>
    </rPh>
    <phoneticPr fontId="35"/>
  </si>
  <si>
    <t>その他収入</t>
    <rPh sb="2" eb="3">
      <t>タ</t>
    </rPh>
    <rPh sb="3" eb="5">
      <t>シュウニュウ</t>
    </rPh>
    <phoneticPr fontId="35"/>
  </si>
  <si>
    <t>計</t>
    <rPh sb="0" eb="1">
      <t>ケイ</t>
    </rPh>
    <phoneticPr fontId="35"/>
  </si>
  <si>
    <t>総務費</t>
    <rPh sb="0" eb="3">
      <t>ソウムヒ</t>
    </rPh>
    <phoneticPr fontId="35"/>
  </si>
  <si>
    <t>保険給付費等交付金</t>
    <rPh sb="0" eb="9">
      <t>ホケンキュウフヒトウコウフキン</t>
    </rPh>
    <phoneticPr fontId="35"/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</si>
  <si>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35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</si>
  <si>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35"/>
  </si>
  <si>
    <t>介護納付金</t>
    <rPh sb="0" eb="2">
      <t>カイゴ</t>
    </rPh>
    <rPh sb="2" eb="5">
      <t>ノウフキン</t>
    </rPh>
    <phoneticPr fontId="35"/>
  </si>
  <si>
    <t>病床転換支援金等</t>
    <rPh sb="0" eb="2">
      <t>ビョウショウ</t>
    </rPh>
    <rPh sb="2" eb="4">
      <t>テンカン</t>
    </rPh>
    <rPh sb="4" eb="6">
      <t>シエン</t>
    </rPh>
    <rPh sb="6" eb="7">
      <t>キン</t>
    </rPh>
    <rPh sb="7" eb="8">
      <t>トウ</t>
    </rPh>
    <phoneticPr fontId="35"/>
  </si>
  <si>
    <t>特別高額医療費共同事業拠出金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キョシュツキン</t>
    </rPh>
    <phoneticPr fontId="35"/>
  </si>
  <si>
    <t>保健事業費</t>
    <rPh sb="0" eb="5">
      <t>ホケンジギョウヒ</t>
    </rPh>
    <phoneticPr fontId="35"/>
  </si>
  <si>
    <t>償還金及び還付加算金</t>
    <rPh sb="0" eb="3">
      <t>ショウカンキン</t>
    </rPh>
    <rPh sb="3" eb="4">
      <t>オヨ</t>
    </rPh>
    <rPh sb="5" eb="7">
      <t>カンプ</t>
    </rPh>
    <rPh sb="7" eb="10">
      <t>カサンキン</t>
    </rPh>
    <phoneticPr fontId="35"/>
  </si>
  <si>
    <t>基金積立金</t>
    <rPh sb="0" eb="2">
      <t>キキン</t>
    </rPh>
    <rPh sb="2" eb="4">
      <t>ツミタテ</t>
    </rPh>
    <rPh sb="4" eb="5">
      <t>キン</t>
    </rPh>
    <phoneticPr fontId="35"/>
  </si>
  <si>
    <t>その他の支出</t>
    <rPh sb="2" eb="3">
      <t>タ</t>
    </rPh>
    <rPh sb="4" eb="6">
      <t>シシュツ</t>
    </rPh>
    <phoneticPr fontId="35"/>
  </si>
  <si>
    <t>収支差引残</t>
    <rPh sb="0" eb="2">
      <t>シュウシ</t>
    </rPh>
    <rPh sb="2" eb="4">
      <t>サシヒキ</t>
    </rPh>
    <rPh sb="4" eb="5">
      <t>ザン</t>
    </rPh>
    <phoneticPr fontId="35"/>
  </si>
  <si>
    <t>保険料（税）</t>
    <rPh sb="0" eb="2">
      <t>ホケン</t>
    </rPh>
    <rPh sb="2" eb="3">
      <t>リョウ</t>
    </rPh>
    <rPh sb="4" eb="5">
      <t>ゼイ</t>
    </rPh>
    <phoneticPr fontId="35"/>
  </si>
  <si>
    <t>都支出金</t>
    <rPh sb="0" eb="1">
      <t>ト</t>
    </rPh>
    <rPh sb="1" eb="4">
      <t>シシュツキン</t>
    </rPh>
    <phoneticPr fontId="35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</si>
  <si>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35"/>
  </si>
  <si>
    <t>直診勘定繰入金</t>
    <rPh sb="0" eb="2">
      <t>チョクシン</t>
    </rPh>
    <rPh sb="2" eb="4">
      <t>カンジョウ</t>
    </rPh>
    <rPh sb="4" eb="6">
      <t>クリイレ</t>
    </rPh>
    <rPh sb="6" eb="7">
      <t>キン</t>
    </rPh>
    <phoneticPr fontId="35"/>
  </si>
  <si>
    <t>基金等繰入金</t>
    <rPh sb="0" eb="2">
      <t>キキン</t>
    </rPh>
    <rPh sb="2" eb="3">
      <t>トウ</t>
    </rPh>
    <rPh sb="3" eb="5">
      <t>クリイレ</t>
    </rPh>
    <rPh sb="5" eb="6">
      <t>キン</t>
    </rPh>
    <phoneticPr fontId="35"/>
  </si>
  <si>
    <t>市町村債</t>
    <rPh sb="0" eb="4">
      <t>シチョウソンサイ</t>
    </rPh>
    <phoneticPr fontId="35"/>
  </si>
  <si>
    <t>保険給付費</t>
    <rPh sb="0" eb="2">
      <t>ホケン</t>
    </rPh>
    <rPh sb="2" eb="4">
      <t>キュウフ</t>
    </rPh>
    <rPh sb="4" eb="5">
      <t>ヒ</t>
    </rPh>
    <phoneticPr fontId="35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</si>
  <si>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35"/>
  </si>
  <si>
    <t>保健事業費</t>
    <rPh sb="0" eb="2">
      <t>ホケン</t>
    </rPh>
    <rPh sb="2" eb="4">
      <t>ジギョウ</t>
    </rPh>
    <rPh sb="4" eb="5">
      <t>ヒ</t>
    </rPh>
    <phoneticPr fontId="35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</si>
  <si>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35"/>
  </si>
  <si>
    <t>直診勘定繰出金</t>
    <rPh sb="0" eb="2">
      <t>チョクシン</t>
    </rPh>
    <rPh sb="2" eb="4">
      <t>カンジョウ</t>
    </rPh>
    <rPh sb="4" eb="6">
      <t>クリダ</t>
    </rPh>
    <rPh sb="6" eb="7">
      <t>キン</t>
    </rPh>
    <phoneticPr fontId="35"/>
  </si>
  <si>
    <t>基金等積立金</t>
    <rPh sb="0" eb="2">
      <t>キキン</t>
    </rPh>
    <rPh sb="2" eb="3">
      <t>トウ</t>
    </rPh>
    <rPh sb="3" eb="5">
      <t>ツミタテ</t>
    </rPh>
    <rPh sb="5" eb="6">
      <t>キン</t>
    </rPh>
    <phoneticPr fontId="35"/>
  </si>
  <si>
    <t>公債費</t>
    <rPh sb="0" eb="3">
      <t>コウサイヒ</t>
    </rPh>
    <phoneticPr fontId="35"/>
  </si>
  <si>
    <t>保険料</t>
    <rPh sb="0" eb="2">
      <t>ホケン</t>
    </rPh>
    <rPh sb="2" eb="3">
      <t>リョウ</t>
    </rPh>
    <phoneticPr fontId="35"/>
  </si>
  <si>
    <t>高額医療費共同事業交付金</t>
    <rPh sb="0" eb="2">
      <t>コウガク</t>
    </rPh>
    <rPh sb="2" eb="5">
      <t>イリョウヒ</t>
    </rPh>
    <rPh sb="5" eb="7">
      <t>キョウドウ</t>
    </rPh>
    <rPh sb="7" eb="9">
      <t>ジギョウ</t>
    </rPh>
    <rPh sb="9" eb="12">
      <t>コウフキン</t>
    </rPh>
    <phoneticPr fontId="35"/>
  </si>
  <si>
    <t>準備金繰入金</t>
    <rPh sb="0" eb="3">
      <t>ジュンビキン</t>
    </rPh>
    <rPh sb="3" eb="5">
      <t>クリイレ</t>
    </rPh>
    <rPh sb="5" eb="6">
      <t>キン</t>
    </rPh>
    <phoneticPr fontId="35"/>
  </si>
  <si>
    <t>高額医療費共同事業拠出金</t>
    <rPh sb="0" eb="2">
      <t>コウガク</t>
    </rPh>
    <rPh sb="2" eb="5">
      <t>イリョウヒ</t>
    </rPh>
    <rPh sb="5" eb="7">
      <t>キョウドウ</t>
    </rPh>
    <rPh sb="7" eb="9">
      <t>ジギョウ</t>
    </rPh>
    <rPh sb="9" eb="12">
      <t>キョシュツキン</t>
    </rPh>
    <phoneticPr fontId="35"/>
  </si>
  <si>
    <t>準備金積立金</t>
    <rPh sb="0" eb="3">
      <t>ジュンビキン</t>
    </rPh>
    <rPh sb="3" eb="5">
      <t>ツミタテ</t>
    </rPh>
    <rPh sb="5" eb="6">
      <t>キン</t>
    </rPh>
    <phoneticPr fontId="35"/>
  </si>
  <si>
    <t>保険者数</t>
    <rPh sb="0" eb="3">
      <t>ホケンシャ</t>
    </rPh>
    <rPh sb="3" eb="4">
      <t>スウ</t>
    </rPh>
    <phoneticPr fontId="35"/>
  </si>
  <si>
    <t>黒字額(A)及び黒字保険者数</t>
    <rPh sb="0" eb="2">
      <t>クロジ</t>
    </rPh>
    <rPh sb="2" eb="3">
      <t>ガク</t>
    </rPh>
    <rPh sb="6" eb="7">
      <t>オヨ</t>
    </rPh>
    <rPh sb="8" eb="10">
      <t>クロジ</t>
    </rPh>
    <rPh sb="10" eb="13">
      <t>ホケンシャ</t>
    </rPh>
    <rPh sb="13" eb="14">
      <t>スウ</t>
    </rPh>
    <phoneticPr fontId="35"/>
  </si>
  <si>
    <t>-</t>
    <phoneticPr fontId="35"/>
  </si>
  <si>
    <t>赤字額(B)及び赤字保険者数</t>
    <rPh sb="0" eb="2">
      <t>アカジ</t>
    </rPh>
    <rPh sb="2" eb="3">
      <t>ガク</t>
    </rPh>
    <rPh sb="6" eb="7">
      <t>オヨ</t>
    </rPh>
    <rPh sb="8" eb="10">
      <t>アカジ</t>
    </rPh>
    <rPh sb="10" eb="13">
      <t>ホケンシャ</t>
    </rPh>
    <rPh sb="13" eb="14">
      <t>スウ</t>
    </rPh>
    <phoneticPr fontId="35"/>
  </si>
  <si>
    <t>収支差引額(A-B)　</t>
    <rPh sb="0" eb="2">
      <t>シュウシ</t>
    </rPh>
    <rPh sb="2" eb="4">
      <t>サシヒキ</t>
    </rPh>
    <rPh sb="4" eb="5">
      <t>ガク</t>
    </rPh>
    <phoneticPr fontId="35"/>
  </si>
  <si>
    <t>その他</t>
  </si>
  <si>
    <t>職員給与費等</t>
  </si>
  <si>
    <t>出産育児一時金等</t>
  </si>
  <si>
    <t>繰越金</t>
  </si>
  <si>
    <t>歳  入</t>
  </si>
  <si>
    <t>歳  出</t>
  </si>
  <si>
    <t>(１)決算状況</t>
    <phoneticPr fontId="27"/>
  </si>
  <si>
    <t>表４－３　決算状況の推移（組合）</t>
    <rPh sb="0" eb="1">
      <t>ヒョウ</t>
    </rPh>
    <rPh sb="13" eb="15">
      <t>クミアイ</t>
    </rPh>
    <phoneticPr fontId="35"/>
  </si>
  <si>
    <t>表４－２　決算状況の推移（公営）</t>
    <rPh sb="0" eb="1">
      <t>ヒョウ</t>
    </rPh>
    <rPh sb="13" eb="15">
      <t>コウエイ</t>
    </rPh>
    <phoneticPr fontId="35"/>
  </si>
  <si>
    <t>(２)収支状況</t>
    <phoneticPr fontId="35"/>
  </si>
  <si>
    <t>区    分</t>
  </si>
  <si>
    <t>２方式</t>
  </si>
  <si>
    <t>３方式</t>
  </si>
  <si>
    <t>４方式</t>
  </si>
  <si>
    <t>料・税別</t>
    <phoneticPr fontId="27"/>
  </si>
  <si>
    <t>料</t>
  </si>
  <si>
    <t>税</t>
  </si>
  <si>
    <t>保険者数</t>
  </si>
  <si>
    <t xml:space="preserve"> 保        険        者        名</t>
  </si>
  <si>
    <t>合     計</t>
  </si>
  <si>
    <t>区</t>
  </si>
  <si>
    <t>分</t>
  </si>
  <si>
    <t>対前年度比率</t>
  </si>
  <si>
    <t>特</t>
  </si>
  <si>
    <t>別</t>
  </si>
  <si>
    <t>市</t>
  </si>
  <si>
    <t>町</t>
  </si>
  <si>
    <t>村</t>
  </si>
  <si>
    <t>組</t>
  </si>
  <si>
    <t>合</t>
  </si>
  <si>
    <t>注：調定額は居所不明者分調定額を除く。</t>
  </si>
  <si>
    <t>１世 帯 当 た り</t>
  </si>
  <si>
    <t>１ 人 当 た り</t>
  </si>
  <si>
    <t>収</t>
  </si>
  <si>
    <t>納</t>
  </si>
  <si>
    <t>調    定    額</t>
  </si>
  <si>
    <t>調   定   額</t>
  </si>
  <si>
    <t>収   納   額</t>
  </si>
  <si>
    <t>率</t>
  </si>
  <si>
    <t>公営</t>
    <rPh sb="0" eb="2">
      <t>コウエイ</t>
    </rPh>
    <phoneticPr fontId="27"/>
  </si>
  <si>
    <t>特別区</t>
    <rPh sb="0" eb="3">
      <t>トクベツク</t>
    </rPh>
    <phoneticPr fontId="27"/>
  </si>
  <si>
    <t>市町村</t>
    <rPh sb="0" eb="3">
      <t>シチョウソン</t>
    </rPh>
    <phoneticPr fontId="27"/>
  </si>
  <si>
    <t xml:space="preserve"> (２) 保険料（税）の状況</t>
    <rPh sb="5" eb="8">
      <t>ホケンリョウ</t>
    </rPh>
    <rPh sb="9" eb="10">
      <t>ゼイ</t>
    </rPh>
    <rPh sb="12" eb="14">
      <t>ジョウキョウ</t>
    </rPh>
    <phoneticPr fontId="27"/>
  </si>
  <si>
    <t>介護納付金分</t>
    <rPh sb="2" eb="5">
      <t>ノウフキン</t>
    </rPh>
    <phoneticPr fontId="27"/>
  </si>
  <si>
    <t>後期高齢者支援金分</t>
    <rPh sb="7" eb="8">
      <t>キン</t>
    </rPh>
    <phoneticPr fontId="27"/>
  </si>
  <si>
    <t>医療給付費分</t>
    <rPh sb="2" eb="4">
      <t>キュウフ</t>
    </rPh>
    <rPh sb="4" eb="5">
      <t>ヒ</t>
    </rPh>
    <phoneticPr fontId="27"/>
  </si>
  <si>
    <t>療          養          の          給          付                  等</t>
  </si>
  <si>
    <t>療   養   費   等</t>
  </si>
  <si>
    <t>療     養     諸     費</t>
  </si>
  <si>
    <t>年  度</t>
  </si>
  <si>
    <t>診      療      費</t>
  </si>
  <si>
    <t>調          剤</t>
  </si>
  <si>
    <t>合            計</t>
  </si>
  <si>
    <t>件 数</t>
  </si>
  <si>
    <t>費 用 額</t>
  </si>
  <si>
    <t>千件</t>
  </si>
  <si>
    <t>千円</t>
  </si>
  <si>
    <t>組合</t>
    <rPh sb="0" eb="2">
      <t>クミアイ</t>
    </rPh>
    <phoneticPr fontId="27"/>
  </si>
  <si>
    <t xml:space="preserve"> </t>
  </si>
  <si>
    <t>－前期高齢者分再掲－</t>
  </si>
  <si>
    <t>療       養       の       給       付       等</t>
  </si>
  <si>
    <t>療 養 費 等</t>
  </si>
  <si>
    <t>療  養  諸  費</t>
  </si>
  <si>
    <t>診　療　費</t>
  </si>
  <si>
    <t>調　　剤</t>
  </si>
  <si>
    <t>合　　計</t>
  </si>
  <si>
    <t>組合</t>
  </si>
  <si>
    <t>－７０歳以上一般分再掲－</t>
  </si>
  <si>
    <t>－７０歳以上現役並み所得者分再掲－</t>
  </si>
  <si>
    <t>－未就学児分再掲－</t>
  </si>
  <si>
    <t>療   養   の   給   付   等</t>
  </si>
  <si>
    <t>［ 伸率＝対前年度伸率 ］</t>
  </si>
  <si>
    <t>受          診          率</t>
  </si>
  <si>
    <t>入  院</t>
  </si>
  <si>
    <t>入院外</t>
  </si>
  <si>
    <t>歯  科</t>
  </si>
  <si>
    <t>伸率</t>
  </si>
  <si>
    <t>日</t>
  </si>
  <si>
    <t>円</t>
  </si>
  <si>
    <t>－前期高齢者分－</t>
    <phoneticPr fontId="27"/>
  </si>
  <si>
    <t>－未就学児分－</t>
    <phoneticPr fontId="27"/>
  </si>
  <si>
    <t>対前年度
比    率</t>
  </si>
  <si>
    <t>件</t>
  </si>
  <si>
    <t>都計</t>
    <rPh sb="0" eb="1">
      <t>ト</t>
    </rPh>
    <rPh sb="1" eb="2">
      <t>ケイ</t>
    </rPh>
    <phoneticPr fontId="27"/>
  </si>
  <si>
    <t>区　　　　　分</t>
  </si>
  <si>
    <t>他法併用分</t>
  </si>
  <si>
    <t>多数該当</t>
  </si>
  <si>
    <t>長期疾病分</t>
  </si>
  <si>
    <t>入院分</t>
  </si>
  <si>
    <t>件      数</t>
  </si>
  <si>
    <t>高額療養費</t>
  </si>
  <si>
    <t>１件当たり額</t>
  </si>
  <si>
    <t>合　算　分</t>
  </si>
  <si>
    <t>単　　独　　分</t>
  </si>
  <si>
    <t>合　計</t>
  </si>
  <si>
    <t>（１） 療養諸費費用額の状況</t>
    <phoneticPr fontId="27"/>
  </si>
  <si>
    <t>（２）診療費諸率</t>
    <phoneticPr fontId="27"/>
  </si>
  <si>
    <t xml:space="preserve"> (３) 高額療養費の状況</t>
    <phoneticPr fontId="27"/>
  </si>
  <si>
    <t>表１－１  加入世帯・被保険者の状況（全体分）</t>
    <rPh sb="19" eb="21">
      <t>ゼンタイ</t>
    </rPh>
    <rPh sb="21" eb="22">
      <t>ブン</t>
    </rPh>
    <phoneticPr fontId="27"/>
  </si>
  <si>
    <t>世    帯    数</t>
    <phoneticPr fontId="27"/>
  </si>
  <si>
    <t>被 保 険 者 総 数</t>
    <phoneticPr fontId="27"/>
  </si>
  <si>
    <t>一 般 被 保 険 者 数</t>
    <phoneticPr fontId="27"/>
  </si>
  <si>
    <t>退職被保険者等数</t>
    <phoneticPr fontId="27"/>
  </si>
  <si>
    <t>加   入   率</t>
    <phoneticPr fontId="27"/>
  </si>
  <si>
    <t>1世帯当たり</t>
    <phoneticPr fontId="27"/>
  </si>
  <si>
    <t>前年度
比</t>
    <phoneticPr fontId="27"/>
  </si>
  <si>
    <t>年度末現在 (A)</t>
    <phoneticPr fontId="27"/>
  </si>
  <si>
    <t>年度末現在  (B)</t>
    <phoneticPr fontId="27"/>
  </si>
  <si>
    <t>(B)/(A)</t>
    <phoneticPr fontId="27"/>
  </si>
  <si>
    <t>年度末現在(C)</t>
    <phoneticPr fontId="27"/>
  </si>
  <si>
    <t>(C)/(A)</t>
    <phoneticPr fontId="27"/>
  </si>
  <si>
    <t>(A)/(D)</t>
    <phoneticPr fontId="27"/>
  </si>
  <si>
    <t>被保険者数</t>
    <phoneticPr fontId="27"/>
  </si>
  <si>
    <t>－</t>
    <phoneticPr fontId="27"/>
  </si>
  <si>
    <t xml:space="preserve">  都        計</t>
    <phoneticPr fontId="27"/>
  </si>
  <si>
    <t>(ア)+(イ)</t>
  </si>
  <si>
    <t xml:space="preserve"> (ア)</t>
  </si>
  <si>
    <t>特　別　区</t>
    <rPh sb="0" eb="5">
      <t>トクベツク</t>
    </rPh>
    <phoneticPr fontId="27"/>
  </si>
  <si>
    <t>市　町　村</t>
    <rPh sb="0" eb="5">
      <t>シチョウソン</t>
    </rPh>
    <phoneticPr fontId="27"/>
  </si>
  <si>
    <t>(再  掲)</t>
  </si>
  <si>
    <t xml:space="preserve"> (イ)</t>
  </si>
  <si>
    <t>表１－２  加入世帯・被保険者の状況　（再掲被保険者数）</t>
    <rPh sb="20" eb="22">
      <t>サイケイ</t>
    </rPh>
    <rPh sb="22" eb="26">
      <t>ヒホケンシャ</t>
    </rPh>
    <rPh sb="26" eb="27">
      <t>カズ</t>
    </rPh>
    <phoneticPr fontId="27"/>
  </si>
  <si>
    <t>年　度　末　現　在</t>
    <rPh sb="0" eb="1">
      <t>トシ</t>
    </rPh>
    <rPh sb="2" eb="3">
      <t>ド</t>
    </rPh>
    <rPh sb="4" eb="5">
      <t>スエ</t>
    </rPh>
    <rPh sb="6" eb="7">
      <t>ウツツ</t>
    </rPh>
    <rPh sb="8" eb="9">
      <t>ザイ</t>
    </rPh>
    <phoneticPr fontId="27"/>
  </si>
  <si>
    <t>年</t>
    <rPh sb="0" eb="1">
      <t>ネン</t>
    </rPh>
    <phoneticPr fontId="27"/>
  </si>
  <si>
    <t>未就学児</t>
    <phoneticPr fontId="27"/>
  </si>
  <si>
    <t>度</t>
    <rPh sb="0" eb="1">
      <t>ド</t>
    </rPh>
    <phoneticPr fontId="27"/>
  </si>
  <si>
    <t>70歳以上
一般</t>
    <rPh sb="2" eb="3">
      <t>サイ</t>
    </rPh>
    <rPh sb="3" eb="5">
      <t>イジョウ</t>
    </rPh>
    <rPh sb="6" eb="8">
      <t>イッパン</t>
    </rPh>
    <phoneticPr fontId="27"/>
  </si>
  <si>
    <t>70歳以上現役
並み所得者</t>
    <rPh sb="2" eb="3">
      <t>サイ</t>
    </rPh>
    <rPh sb="3" eb="5">
      <t>イジョウ</t>
    </rPh>
    <rPh sb="5" eb="6">
      <t>ウツツ</t>
    </rPh>
    <rPh sb="6" eb="7">
      <t>エキ</t>
    </rPh>
    <rPh sb="8" eb="9">
      <t>ナ</t>
    </rPh>
    <rPh sb="10" eb="13">
      <t>ショトクシャ</t>
    </rPh>
    <phoneticPr fontId="27"/>
  </si>
  <si>
    <t>70歳以上現役
並み所得者</t>
    <rPh sb="2" eb="3">
      <t>サイ</t>
    </rPh>
    <rPh sb="3" eb="5">
      <t>イジョウ</t>
    </rPh>
    <rPh sb="5" eb="7">
      <t>ゲンエキ</t>
    </rPh>
    <rPh sb="8" eb="9">
      <t>ナ</t>
    </rPh>
    <rPh sb="10" eb="13">
      <t>ショトクシャ</t>
    </rPh>
    <phoneticPr fontId="27"/>
  </si>
  <si>
    <t>都　　　　　計</t>
    <rPh sb="0" eb="1">
      <t>ト</t>
    </rPh>
    <rPh sb="6" eb="7">
      <t>ケイ</t>
    </rPh>
    <phoneticPr fontId="27"/>
  </si>
  <si>
    <t>都内分再掲
（ア）＋（イ）</t>
    <phoneticPr fontId="27"/>
  </si>
  <si>
    <t>特　　別　　区</t>
    <rPh sb="0" eb="7">
      <t>トクベツク</t>
    </rPh>
    <phoneticPr fontId="27"/>
  </si>
  <si>
    <t>　市　　町　　村　</t>
    <rPh sb="1" eb="8">
      <t>シチョウソン</t>
    </rPh>
    <phoneticPr fontId="27"/>
  </si>
  <si>
    <t>多 摩 地 区
（再掲）</t>
    <rPh sb="9" eb="11">
      <t>サイケイ</t>
    </rPh>
    <phoneticPr fontId="27"/>
  </si>
  <si>
    <t>島しょ地区
（再掲）</t>
    <rPh sb="7" eb="9">
      <t>サイケイ</t>
    </rPh>
    <phoneticPr fontId="27"/>
  </si>
  <si>
    <t>国  保  組  合</t>
    <rPh sb="0" eb="1">
      <t>クニ</t>
    </rPh>
    <rPh sb="3" eb="4">
      <t>タモツ</t>
    </rPh>
    <rPh sb="6" eb="7">
      <t>クミ</t>
    </rPh>
    <rPh sb="9" eb="10">
      <t>ゴウ</t>
    </rPh>
    <phoneticPr fontId="27"/>
  </si>
  <si>
    <t>都内分再掲
（イ）</t>
    <phoneticPr fontId="27"/>
  </si>
  <si>
    <t>原稿用</t>
    <rPh sb="0" eb="2">
      <t>ゲンコウ</t>
    </rPh>
    <rPh sb="2" eb="3">
      <t>ヨウ</t>
    </rPh>
    <phoneticPr fontId="27"/>
  </si>
  <si>
    <t>年度末</t>
  </si>
  <si>
    <t>都計世帯数</t>
    <rPh sb="0" eb="1">
      <t>ト</t>
    </rPh>
    <rPh sb="1" eb="2">
      <t>ケイ</t>
    </rPh>
    <phoneticPr fontId="27"/>
  </si>
  <si>
    <t>多摩地区世帯数</t>
  </si>
  <si>
    <t>組合世帯数</t>
  </si>
  <si>
    <t>特別区世帯数</t>
  </si>
  <si>
    <t>世帯用</t>
    <rPh sb="0" eb="2">
      <t>セタイ</t>
    </rPh>
    <rPh sb="2" eb="3">
      <t>ヨウ</t>
    </rPh>
    <phoneticPr fontId="27"/>
  </si>
  <si>
    <t>項目軸1</t>
    <rPh sb="0" eb="2">
      <t>コウモク</t>
    </rPh>
    <rPh sb="2" eb="3">
      <t>ジク</t>
    </rPh>
    <phoneticPr fontId="27"/>
  </si>
  <si>
    <t>被保数用</t>
    <rPh sb="0" eb="3">
      <t>ヒホスウ</t>
    </rPh>
    <rPh sb="3" eb="4">
      <t>ヨウ</t>
    </rPh>
    <phoneticPr fontId="27"/>
  </si>
  <si>
    <t>項目軸2</t>
    <rPh sb="0" eb="2">
      <t>コウモク</t>
    </rPh>
    <rPh sb="2" eb="3">
      <t>ジク</t>
    </rPh>
    <phoneticPr fontId="27"/>
  </si>
  <si>
    <t>順番/名称/DATA</t>
    <rPh sb="0" eb="2">
      <t>ジュンバン</t>
    </rPh>
    <rPh sb="3" eb="5">
      <t>メイショウ</t>
    </rPh>
    <phoneticPr fontId="27"/>
  </si>
  <si>
    <t>都計被保険者数</t>
    <rPh sb="2" eb="6">
      <t>ヒホケンシャ</t>
    </rPh>
    <rPh sb="6" eb="7">
      <t>スウ</t>
    </rPh>
    <phoneticPr fontId="27"/>
  </si>
  <si>
    <t>組合被保険者数</t>
  </si>
  <si>
    <t>多摩地区被保険者数</t>
    <phoneticPr fontId="27"/>
  </si>
  <si>
    <t>特別区被保険者数</t>
  </si>
  <si>
    <t>島しょ地区世帯数</t>
    <rPh sb="5" eb="7">
      <t>セタイ</t>
    </rPh>
    <rPh sb="7" eb="8">
      <t>カズ</t>
    </rPh>
    <phoneticPr fontId="27"/>
  </si>
  <si>
    <t>島しょ地区被保険者数</t>
    <rPh sb="5" eb="6">
      <t>ヒ</t>
    </rPh>
    <rPh sb="6" eb="9">
      <t>ホケンシャ</t>
    </rPh>
    <rPh sb="9" eb="10">
      <t>カズ</t>
    </rPh>
    <phoneticPr fontId="27"/>
  </si>
  <si>
    <t>名称/DATA</t>
    <rPh sb="0" eb="2">
      <t>メイショウ</t>
    </rPh>
    <phoneticPr fontId="27"/>
  </si>
  <si>
    <t>表３ 被保険者事由別異動状況</t>
    <phoneticPr fontId="27"/>
  </si>
  <si>
    <t>(単位:人)</t>
  </si>
  <si>
    <t>構成比(%)</t>
  </si>
  <si>
    <t>訳</t>
    <phoneticPr fontId="27"/>
  </si>
  <si>
    <t>後期高齢離脱</t>
    <rPh sb="0" eb="2">
      <t>コウキ</t>
    </rPh>
    <rPh sb="2" eb="4">
      <t>コウレイ</t>
    </rPh>
    <rPh sb="4" eb="6">
      <t>リダツ</t>
    </rPh>
    <phoneticPr fontId="27"/>
  </si>
  <si>
    <t>後期高齢加入</t>
    <rPh sb="0" eb="2">
      <t>コウキ</t>
    </rPh>
    <rPh sb="2" eb="4">
      <t>コウレイ</t>
    </rPh>
    <rPh sb="4" eb="6">
      <t>カニュウ</t>
    </rPh>
    <phoneticPr fontId="27"/>
  </si>
  <si>
    <t>後期高齢差</t>
    <rPh sb="0" eb="2">
      <t>コウキ</t>
    </rPh>
    <rPh sb="2" eb="4">
      <t>コウレイ</t>
    </rPh>
    <phoneticPr fontId="27"/>
  </si>
  <si>
    <t>異 動 率 (%)</t>
  </si>
  <si>
    <t>異 動 率 (%)</t>
    <phoneticPr fontId="27"/>
  </si>
  <si>
    <t>異動率の公営計 (%)</t>
    <phoneticPr fontId="27"/>
  </si>
  <si>
    <t>＜組合＞</t>
    <phoneticPr fontId="27"/>
  </si>
  <si>
    <t>円グラフ　項目には自動で色が付かない</t>
    <rPh sb="5" eb="7">
      <t>コウモク</t>
    </rPh>
    <rPh sb="9" eb="11">
      <t>ジドウ</t>
    </rPh>
    <rPh sb="12" eb="13">
      <t>イロ</t>
    </rPh>
    <rPh sb="14" eb="15">
      <t>ツ</t>
    </rPh>
    <phoneticPr fontId="27"/>
  </si>
  <si>
    <t>全体的にデータラベルを手修正するとデータ反映しなくなる</t>
    <phoneticPr fontId="27"/>
  </si>
  <si>
    <t>保険給付費等交付金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phoneticPr fontId="35"/>
  </si>
  <si>
    <t>特別交付金</t>
    <rPh sb="0" eb="2">
      <t>トクベツ</t>
    </rPh>
    <rPh sb="2" eb="5">
      <t>コウフキン</t>
    </rPh>
    <phoneticPr fontId="35"/>
  </si>
  <si>
    <t>歳入</t>
  </si>
  <si>
    <t xml:space="preserve"> 保険料</t>
  </si>
  <si>
    <t>国庫支出金</t>
  </si>
  <si>
    <t>都道府県支出金</t>
    <rPh sb="0" eb="4">
      <t>トドウフケン</t>
    </rPh>
    <rPh sb="4" eb="6">
      <t>シシュツ</t>
    </rPh>
    <rPh sb="6" eb="7">
      <t>キン</t>
    </rPh>
    <phoneticPr fontId="35"/>
  </si>
  <si>
    <t>連合会支出金</t>
    <rPh sb="0" eb="3">
      <t>レンゴウカイ</t>
    </rPh>
    <rPh sb="3" eb="6">
      <t>シシュツキン</t>
    </rPh>
    <phoneticPr fontId="27"/>
  </si>
  <si>
    <t>一般会計繰入金</t>
  </si>
  <si>
    <t>一般会計繰入金</t>
    <phoneticPr fontId="35"/>
  </si>
  <si>
    <t>収入合計</t>
  </si>
  <si>
    <t>一般</t>
  </si>
  <si>
    <t>退職</t>
  </si>
  <si>
    <t>普通交付金</t>
    <rPh sb="0" eb="5">
      <t>フツウコウフキン</t>
    </rPh>
    <phoneticPr fontId="35"/>
  </si>
  <si>
    <t>保険者努力支援分</t>
    <rPh sb="0" eb="3">
      <t>ホケンシャ</t>
    </rPh>
    <rPh sb="3" eb="5">
      <t>ドリョク</t>
    </rPh>
    <rPh sb="5" eb="7">
      <t>シエン</t>
    </rPh>
    <rPh sb="7" eb="8">
      <t>ブン</t>
    </rPh>
    <phoneticPr fontId="27"/>
  </si>
  <si>
    <t>特別調整交付金分</t>
    <rPh sb="7" eb="8">
      <t>ブン</t>
    </rPh>
    <phoneticPr fontId="27"/>
  </si>
  <si>
    <t>都道府県繰入金(2号分)</t>
    <phoneticPr fontId="35"/>
  </si>
  <si>
    <t>特定健康診査等負担金</t>
    <phoneticPr fontId="35"/>
  </si>
  <si>
    <t>財政安定化基金交付金</t>
    <rPh sb="0" eb="2">
      <t>ザイセイ</t>
    </rPh>
    <rPh sb="2" eb="5">
      <t>アンテイカ</t>
    </rPh>
    <rPh sb="5" eb="7">
      <t>キキン</t>
    </rPh>
    <rPh sb="7" eb="10">
      <t>コウフキン</t>
    </rPh>
    <phoneticPr fontId="35"/>
  </si>
  <si>
    <t>その他</t>
    <rPh sb="2" eb="3">
      <t>タ</t>
    </rPh>
    <phoneticPr fontId="35"/>
  </si>
  <si>
    <t>保険税軽減分</t>
    <phoneticPr fontId="27"/>
  </si>
  <si>
    <t>保険者支援分</t>
    <rPh sb="0" eb="3">
      <t>ホケンシャ</t>
    </rPh>
    <rPh sb="3" eb="5">
      <t>シエン</t>
    </rPh>
    <rPh sb="5" eb="6">
      <t>ブン</t>
    </rPh>
    <phoneticPr fontId="27"/>
  </si>
  <si>
    <t>財政安定化支援事業</t>
    <rPh sb="7" eb="9">
      <t>ジギョウ</t>
    </rPh>
    <phoneticPr fontId="27"/>
  </si>
  <si>
    <t>基金等繰入金</t>
    <phoneticPr fontId="27"/>
  </si>
  <si>
    <t>市町村債</t>
    <rPh sb="0" eb="3">
      <t>シチョウソン</t>
    </rPh>
    <rPh sb="3" eb="4">
      <t>サイ</t>
    </rPh>
    <phoneticPr fontId="27"/>
  </si>
  <si>
    <t>百万円</t>
    <rPh sb="0" eb="1">
      <t>ヒャク</t>
    </rPh>
    <rPh sb="1" eb="3">
      <t>マンエン</t>
    </rPh>
    <phoneticPr fontId="27"/>
  </si>
  <si>
    <t>(%)</t>
    <phoneticPr fontId="27"/>
  </si>
  <si>
    <t>記載数値</t>
    <rPh sb="0" eb="2">
      <t>キサイ</t>
    </rPh>
    <rPh sb="2" eb="4">
      <t>スウチ</t>
    </rPh>
    <phoneticPr fontId="27"/>
  </si>
  <si>
    <t>ゼロ項目</t>
    <rPh sb="2" eb="4">
      <t>コウモク</t>
    </rPh>
    <phoneticPr fontId="27"/>
  </si>
  <si>
    <t>表示用</t>
    <rPh sb="0" eb="2">
      <t>ヒョウジ</t>
    </rPh>
    <rPh sb="2" eb="3">
      <t>ヨウ</t>
    </rPh>
    <phoneticPr fontId="27"/>
  </si>
  <si>
    <t>赤字は非表示項目</t>
    <rPh sb="0" eb="2">
      <t>アカジ</t>
    </rPh>
    <rPh sb="3" eb="6">
      <t>ヒヒョウジ</t>
    </rPh>
    <rPh sb="6" eb="8">
      <t>コウモク</t>
    </rPh>
    <phoneticPr fontId="27"/>
  </si>
  <si>
    <t>内側</t>
    <rPh sb="0" eb="2">
      <t>ウチガワ</t>
    </rPh>
    <phoneticPr fontId="35"/>
  </si>
  <si>
    <t>系列１</t>
    <rPh sb="0" eb="2">
      <t>ケイレツ</t>
    </rPh>
    <phoneticPr fontId="27"/>
  </si>
  <si>
    <t xml:space="preserve">保険料 
</t>
    <phoneticPr fontId="27"/>
  </si>
  <si>
    <t>都道府県支出金</t>
    <phoneticPr fontId="27"/>
  </si>
  <si>
    <t xml:space="preserve">一般会計
繰入金
</t>
    <phoneticPr fontId="27"/>
  </si>
  <si>
    <t xml:space="preserve"> その他 </t>
    <phoneticPr fontId="27"/>
  </si>
  <si>
    <t>表示項目</t>
    <rPh sb="0" eb="2">
      <t>ヒョウジ</t>
    </rPh>
    <rPh sb="2" eb="4">
      <t>コウモク</t>
    </rPh>
    <phoneticPr fontId="27"/>
  </si>
  <si>
    <t>表示用％</t>
    <rPh sb="0" eb="2">
      <t>ヒョウジ</t>
    </rPh>
    <rPh sb="2" eb="3">
      <t>ヨウ</t>
    </rPh>
    <phoneticPr fontId="27"/>
  </si>
  <si>
    <t>外側</t>
    <rPh sb="0" eb="2">
      <t>ソトガワ</t>
    </rPh>
    <phoneticPr fontId="35"/>
  </si>
  <si>
    <t>系列２</t>
    <rPh sb="0" eb="2">
      <t>ケイレツ</t>
    </rPh>
    <phoneticPr fontId="27"/>
  </si>
  <si>
    <t xml:space="preserve"> 一般
被保険者分
</t>
    <rPh sb="4" eb="8">
      <t>ヒホケンシャ</t>
    </rPh>
    <rPh sb="8" eb="9">
      <t>ブン</t>
    </rPh>
    <phoneticPr fontId="27"/>
  </si>
  <si>
    <t xml:space="preserve">退職
被保険者等分
</t>
    <rPh sb="0" eb="2">
      <t>タイショク</t>
    </rPh>
    <rPh sb="3" eb="4">
      <t>ヒ</t>
    </rPh>
    <rPh sb="4" eb="5">
      <t>ホ</t>
    </rPh>
    <rPh sb="5" eb="6">
      <t>ケン</t>
    </rPh>
    <rPh sb="6" eb="7">
      <t>シャ</t>
    </rPh>
    <rPh sb="7" eb="8">
      <t>トウ</t>
    </rPh>
    <rPh sb="8" eb="9">
      <t>ブン</t>
    </rPh>
    <phoneticPr fontId="27"/>
  </si>
  <si>
    <t xml:space="preserve">国庫支出金 </t>
    <rPh sb="0" eb="2">
      <t>コッコ</t>
    </rPh>
    <rPh sb="2" eb="5">
      <t>シシュツキン</t>
    </rPh>
    <phoneticPr fontId="27"/>
  </si>
  <si>
    <t>都道府県支出金</t>
    <phoneticPr fontId="35"/>
  </si>
  <si>
    <t>連合会支出金</t>
    <phoneticPr fontId="27"/>
  </si>
  <si>
    <t>系列１データ</t>
    <rPh sb="0" eb="2">
      <t>ケイレツ</t>
    </rPh>
    <phoneticPr fontId="27"/>
  </si>
  <si>
    <t>系列２データ</t>
    <rPh sb="0" eb="2">
      <t>ケイレツ</t>
    </rPh>
    <phoneticPr fontId="27"/>
  </si>
  <si>
    <t>B75</t>
    <phoneticPr fontId="35"/>
  </si>
  <si>
    <t>歳出</t>
    <rPh sb="1" eb="2">
      <t>デ</t>
    </rPh>
    <phoneticPr fontId="27"/>
  </si>
  <si>
    <t>総務費</t>
  </si>
  <si>
    <t>審査支払手数料</t>
  </si>
  <si>
    <t>国民健康保険事業費納付金</t>
    <phoneticPr fontId="35"/>
  </si>
  <si>
    <t>財政安定化支援事業拠出金</t>
    <phoneticPr fontId="35"/>
  </si>
  <si>
    <t>保健事業費</t>
    <phoneticPr fontId="35"/>
  </si>
  <si>
    <t>保険給付費等交付金償還金</t>
    <phoneticPr fontId="35"/>
  </si>
  <si>
    <t>その他の支出</t>
    <phoneticPr fontId="35"/>
  </si>
  <si>
    <t>支出計</t>
  </si>
  <si>
    <t>療養給付費・療養費・移送費</t>
    <rPh sb="10" eb="12">
      <t>イソウ</t>
    </rPh>
    <rPh sb="12" eb="13">
      <t>ヒ</t>
    </rPh>
    <phoneticPr fontId="27"/>
  </si>
  <si>
    <t>高額介護合算療養費</t>
    <rPh sb="2" eb="4">
      <t>カイゴ</t>
    </rPh>
    <rPh sb="4" eb="6">
      <t>ガッサン</t>
    </rPh>
    <phoneticPr fontId="27"/>
  </si>
  <si>
    <t>保険給付費</t>
    <rPh sb="0" eb="2">
      <t>ホケン</t>
    </rPh>
    <phoneticPr fontId="27"/>
  </si>
  <si>
    <t>医療給付分</t>
    <phoneticPr fontId="35"/>
  </si>
  <si>
    <t>後期高齢者分</t>
    <phoneticPr fontId="35"/>
  </si>
  <si>
    <t>介護納付金分</t>
    <phoneticPr fontId="35"/>
  </si>
  <si>
    <t>系列1</t>
    <rPh sb="0" eb="2">
      <t>ケイレツ</t>
    </rPh>
    <phoneticPr fontId="27"/>
  </si>
  <si>
    <t xml:space="preserve"> 総務費 </t>
    <phoneticPr fontId="27"/>
  </si>
  <si>
    <t xml:space="preserve">一般保険
給付費
</t>
    <rPh sb="0" eb="1">
      <t>イチ</t>
    </rPh>
    <rPh sb="1" eb="2">
      <t>パン</t>
    </rPh>
    <rPh sb="2" eb="4">
      <t>ホケン</t>
    </rPh>
    <rPh sb="5" eb="7">
      <t>キュウフ</t>
    </rPh>
    <rPh sb="7" eb="8">
      <t>ヒ</t>
    </rPh>
    <phoneticPr fontId="27"/>
  </si>
  <si>
    <t xml:space="preserve"> 退職保険給付費
</t>
    <rPh sb="1" eb="3">
      <t>タイショク</t>
    </rPh>
    <rPh sb="3" eb="5">
      <t>ホケン</t>
    </rPh>
    <rPh sb="5" eb="7">
      <t>キュウフ</t>
    </rPh>
    <rPh sb="7" eb="8">
      <t>ヒ</t>
    </rPh>
    <phoneticPr fontId="27"/>
  </si>
  <si>
    <t xml:space="preserve"> 審査支払手数料 </t>
    <rPh sb="1" eb="3">
      <t>シンサ</t>
    </rPh>
    <rPh sb="3" eb="5">
      <t>シハライ</t>
    </rPh>
    <rPh sb="5" eb="8">
      <t>テスウリョウ</t>
    </rPh>
    <phoneticPr fontId="27"/>
  </si>
  <si>
    <t xml:space="preserve">国民健康保険
事業費納付金
</t>
    <rPh sb="0" eb="2">
      <t>コクミン</t>
    </rPh>
    <rPh sb="2" eb="4">
      <t>ケンコウ</t>
    </rPh>
    <rPh sb="4" eb="6">
      <t>ホケン</t>
    </rPh>
    <rPh sb="7" eb="10">
      <t>ジギョウヒ</t>
    </rPh>
    <rPh sb="10" eb="13">
      <t>ノウフキン</t>
    </rPh>
    <phoneticPr fontId="27"/>
  </si>
  <si>
    <t>財政安定化支援事業拠出金</t>
    <phoneticPr fontId="27"/>
  </si>
  <si>
    <t>保険給付費等交付金償還金</t>
    <phoneticPr fontId="27"/>
  </si>
  <si>
    <t xml:space="preserve">その他の支出 </t>
    <phoneticPr fontId="27"/>
  </si>
  <si>
    <t>一般保険給付費</t>
    <rPh sb="0" eb="2">
      <t>イッパン</t>
    </rPh>
    <rPh sb="2" eb="4">
      <t>ホケン</t>
    </rPh>
    <rPh sb="4" eb="6">
      <t>キュウフ</t>
    </rPh>
    <rPh sb="6" eb="7">
      <t>ヒ</t>
    </rPh>
    <phoneticPr fontId="27"/>
  </si>
  <si>
    <t>退職保険給付費</t>
    <rPh sb="0" eb="2">
      <t>タイショク</t>
    </rPh>
    <rPh sb="2" eb="4">
      <t>ホケン</t>
    </rPh>
    <rPh sb="4" eb="6">
      <t>キュウフ</t>
    </rPh>
    <rPh sb="6" eb="7">
      <t>ヒ</t>
    </rPh>
    <phoneticPr fontId="27"/>
  </si>
  <si>
    <t xml:space="preserve">療養給付費・
療養費・移送費
</t>
    <phoneticPr fontId="27"/>
  </si>
  <si>
    <t xml:space="preserve"> 高額療養費
</t>
    <phoneticPr fontId="27"/>
  </si>
  <si>
    <t xml:space="preserve">高額介護
合算療養費 </t>
    <rPh sb="2" eb="4">
      <t>カイゴ</t>
    </rPh>
    <rPh sb="5" eb="7">
      <t>ガッサン</t>
    </rPh>
    <phoneticPr fontId="27"/>
  </si>
  <si>
    <t xml:space="preserve">療養給付費・療養費
・移送費 </t>
    <rPh sb="11" eb="13">
      <t>イソウ</t>
    </rPh>
    <rPh sb="13" eb="14">
      <t>ヒ</t>
    </rPh>
    <phoneticPr fontId="27"/>
  </si>
  <si>
    <t xml:space="preserve"> 高額療養費 </t>
    <phoneticPr fontId="27"/>
  </si>
  <si>
    <t>高額介護
合算療養費</t>
    <phoneticPr fontId="27"/>
  </si>
  <si>
    <t xml:space="preserve"> 審査支払手数料 </t>
    <phoneticPr fontId="27"/>
  </si>
  <si>
    <t xml:space="preserve">医療給付分
</t>
    <rPh sb="0" eb="2">
      <t>イリョウ</t>
    </rPh>
    <rPh sb="2" eb="4">
      <t>キュウフ</t>
    </rPh>
    <rPh sb="4" eb="5">
      <t>ブン</t>
    </rPh>
    <phoneticPr fontId="27"/>
  </si>
  <si>
    <t xml:space="preserve">後期高齢者分 </t>
    <phoneticPr fontId="35"/>
  </si>
  <si>
    <t xml:space="preserve">介護納付金分 </t>
    <phoneticPr fontId="35"/>
  </si>
  <si>
    <t xml:space="preserve"> 保健事業費 </t>
    <phoneticPr fontId="27"/>
  </si>
  <si>
    <t xml:space="preserve"> その他の支出  </t>
    <phoneticPr fontId="27"/>
  </si>
  <si>
    <t>調整↑(R42を調整した)</t>
    <rPh sb="0" eb="2">
      <t>チョウセイ</t>
    </rPh>
    <rPh sb="8" eb="10">
      <t>チョウセイ</t>
    </rPh>
    <phoneticPr fontId="27"/>
  </si>
  <si>
    <t xml:space="preserve">国庫支出金 
</t>
    <phoneticPr fontId="27"/>
  </si>
  <si>
    <t>療養給付費・療養費
・移送費</t>
    <phoneticPr fontId="27"/>
  </si>
  <si>
    <t>高額介護合算療養費</t>
    <phoneticPr fontId="27"/>
  </si>
  <si>
    <t xml:space="preserve">保険給付費等交付金
償還金事業拠出金
</t>
    <rPh sb="15" eb="17">
      <t>キョシュツ</t>
    </rPh>
    <phoneticPr fontId="27"/>
  </si>
  <si>
    <t xml:space="preserve"> その他の支出 </t>
    <phoneticPr fontId="27"/>
  </si>
  <si>
    <t>ドーナツ円グラフ引出線は使用できない</t>
    <phoneticPr fontId="27"/>
  </si>
  <si>
    <t>国保組合</t>
    <rPh sb="0" eb="2">
      <t>コクホ</t>
    </rPh>
    <rPh sb="2" eb="4">
      <t>クミアイ</t>
    </rPh>
    <phoneticPr fontId="27"/>
  </si>
  <si>
    <t>前期高齢者交付金</t>
    <rPh sb="0" eb="2">
      <t>ゼンキ</t>
    </rPh>
    <rPh sb="2" eb="5">
      <t>コウレイシャ</t>
    </rPh>
    <rPh sb="5" eb="8">
      <t>コウフキン</t>
    </rPh>
    <phoneticPr fontId="27"/>
  </si>
  <si>
    <t>都支出金</t>
  </si>
  <si>
    <t>共同事業交付金</t>
    <rPh sb="0" eb="2">
      <t>キョウドウ</t>
    </rPh>
    <rPh sb="2" eb="4">
      <t>ジギョウ</t>
    </rPh>
    <rPh sb="4" eb="6">
      <t>コウフ</t>
    </rPh>
    <rPh sb="6" eb="7">
      <t>キン</t>
    </rPh>
    <phoneticPr fontId="27"/>
  </si>
  <si>
    <t>その他計</t>
    <rPh sb="2" eb="3">
      <t>タ</t>
    </rPh>
    <rPh sb="3" eb="4">
      <t>ケイ</t>
    </rPh>
    <phoneticPr fontId="35"/>
  </si>
  <si>
    <t>事務費負担金</t>
    <rPh sb="0" eb="3">
      <t>ジムヒ</t>
    </rPh>
    <rPh sb="3" eb="6">
      <t>フタンキン</t>
    </rPh>
    <phoneticPr fontId="27"/>
  </si>
  <si>
    <t>療養給付費等補助金</t>
    <rPh sb="6" eb="9">
      <t>ホジョキン</t>
    </rPh>
    <phoneticPr fontId="27"/>
  </si>
  <si>
    <t>高額医療費共同事業補助金</t>
    <rPh sb="0" eb="2">
      <t>コウガク</t>
    </rPh>
    <rPh sb="2" eb="5">
      <t>イリョウヒ</t>
    </rPh>
    <rPh sb="5" eb="7">
      <t>キョウドウ</t>
    </rPh>
    <rPh sb="7" eb="9">
      <t>ジギョウ</t>
    </rPh>
    <rPh sb="9" eb="12">
      <t>ホジョキン</t>
    </rPh>
    <phoneticPr fontId="27"/>
  </si>
  <si>
    <t>特定健診補助金</t>
    <rPh sb="0" eb="2">
      <t>トクテイ</t>
    </rPh>
    <rPh sb="2" eb="4">
      <t>ケンシン</t>
    </rPh>
    <rPh sb="4" eb="7">
      <t>ホジョキン</t>
    </rPh>
    <phoneticPr fontId="27"/>
  </si>
  <si>
    <t>出産育児一時金補助金</t>
    <rPh sb="7" eb="10">
      <t>ホジョキン</t>
    </rPh>
    <phoneticPr fontId="27"/>
  </si>
  <si>
    <t>その他</t>
    <rPh sb="2" eb="3">
      <t>タ</t>
    </rPh>
    <phoneticPr fontId="27"/>
  </si>
  <si>
    <t>組合債</t>
    <rPh sb="0" eb="2">
      <t>クミアイ</t>
    </rPh>
    <rPh sb="2" eb="3">
      <t>サイ</t>
    </rPh>
    <phoneticPr fontId="27"/>
  </si>
  <si>
    <t>その他の収入</t>
    <rPh sb="4" eb="6">
      <t>シュウニュウ</t>
    </rPh>
    <phoneticPr fontId="35"/>
  </si>
  <si>
    <t xml:space="preserve"> 保険料</t>
    <phoneticPr fontId="27"/>
  </si>
  <si>
    <t xml:space="preserve">国庫支出金 </t>
    <phoneticPr fontId="27"/>
  </si>
  <si>
    <t xml:space="preserve">前期高齢者
交付金
</t>
    <rPh sb="0" eb="2">
      <t>ゼンキ</t>
    </rPh>
    <rPh sb="2" eb="5">
      <t>コウレイシャ</t>
    </rPh>
    <rPh sb="6" eb="9">
      <t>コウフキン</t>
    </rPh>
    <phoneticPr fontId="27"/>
  </si>
  <si>
    <t xml:space="preserve">都支出金 </t>
    <phoneticPr fontId="27"/>
  </si>
  <si>
    <t>高額医療費
共同事業交付金</t>
    <rPh sb="6" eb="8">
      <t>キョウドウ</t>
    </rPh>
    <rPh sb="8" eb="10">
      <t>ジギョウ</t>
    </rPh>
    <rPh sb="10" eb="12">
      <t>コウフ</t>
    </rPh>
    <rPh sb="12" eb="13">
      <t>キン</t>
    </rPh>
    <phoneticPr fontId="27"/>
  </si>
  <si>
    <t xml:space="preserve"> その他
</t>
    <phoneticPr fontId="27"/>
  </si>
  <si>
    <t>未使用</t>
    <rPh sb="0" eb="3">
      <t>ミシヨウ</t>
    </rPh>
    <phoneticPr fontId="27"/>
  </si>
  <si>
    <t xml:space="preserve"> 保険料
</t>
    <phoneticPr fontId="27"/>
  </si>
  <si>
    <t xml:space="preserve">前期高齢者交付金 </t>
    <rPh sb="0" eb="2">
      <t>ゼンキ</t>
    </rPh>
    <rPh sb="2" eb="5">
      <t>コウレイシャ</t>
    </rPh>
    <rPh sb="5" eb="8">
      <t>コウフキン</t>
    </rPh>
    <phoneticPr fontId="27"/>
  </si>
  <si>
    <t xml:space="preserve">共同事業
交付金
</t>
    <rPh sb="0" eb="2">
      <t>キョウドウ</t>
    </rPh>
    <rPh sb="2" eb="4">
      <t>ジギョウ</t>
    </rPh>
    <rPh sb="5" eb="7">
      <t>コウフ</t>
    </rPh>
    <rPh sb="7" eb="8">
      <t>キン</t>
    </rPh>
    <phoneticPr fontId="27"/>
  </si>
  <si>
    <t>審査支払手数料</t>
    <phoneticPr fontId="27"/>
  </si>
  <si>
    <t>後期高齢者支援金等</t>
    <rPh sb="0" eb="2">
      <t>コウキ</t>
    </rPh>
    <rPh sb="2" eb="5">
      <t>コウレイシャ</t>
    </rPh>
    <rPh sb="5" eb="8">
      <t>シエンキン</t>
    </rPh>
    <rPh sb="8" eb="9">
      <t>トウ</t>
    </rPh>
    <phoneticPr fontId="27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</si>
  <si>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27"/>
  </si>
  <si>
    <t>介護納付金</t>
    <rPh sb="0" eb="2">
      <t>カイゴ</t>
    </rPh>
    <rPh sb="2" eb="5">
      <t>ノウフキン</t>
    </rPh>
    <phoneticPr fontId="27"/>
  </si>
  <si>
    <t>保健事業費</t>
  </si>
  <si>
    <t>その他の支出</t>
  </si>
  <si>
    <t>高額医療費共同事業拠出金</t>
    <rPh sb="9" eb="11">
      <t>キョシュツ</t>
    </rPh>
    <rPh sb="11" eb="12">
      <t>キン</t>
    </rPh>
    <phoneticPr fontId="27"/>
  </si>
  <si>
    <t xml:space="preserve"> 後期高齢者支援金等
</t>
    <rPh sb="1" eb="3">
      <t>コウキ</t>
    </rPh>
    <rPh sb="3" eb="6">
      <t>コウレイシャ</t>
    </rPh>
    <rPh sb="6" eb="9">
      <t>シエンキン</t>
    </rPh>
    <rPh sb="9" eb="10">
      <t>トウ</t>
    </rPh>
    <phoneticPr fontId="27"/>
  </si>
  <si>
    <t xml:space="preserve"> 前期高齢者
納付金等
</t>
    <rPh sb="1" eb="3">
      <t>ゼンキ</t>
    </rPh>
    <rPh sb="3" eb="6">
      <t>コウレイシャ</t>
    </rPh>
    <rPh sb="7" eb="10">
      <t>ノウフキン</t>
    </rPh>
    <rPh sb="10" eb="11">
      <t>トウ</t>
    </rPh>
    <phoneticPr fontId="27"/>
  </si>
  <si>
    <t xml:space="preserve"> 介護納付金
</t>
    <rPh sb="1" eb="3">
      <t>カイゴ</t>
    </rPh>
    <rPh sb="3" eb="6">
      <t>ノウフキン</t>
    </rPh>
    <phoneticPr fontId="27"/>
  </si>
  <si>
    <t>高額医療費共同事業拠出金</t>
    <phoneticPr fontId="27"/>
  </si>
  <si>
    <t xml:space="preserve"> 療養給付費・
 療養費・移送費
</t>
    <rPh sb="13" eb="15">
      <t>イソウ</t>
    </rPh>
    <rPh sb="15" eb="16">
      <t>ヒ</t>
    </rPh>
    <phoneticPr fontId="27"/>
  </si>
  <si>
    <t xml:space="preserve"> 高額介護
合算療養費
</t>
    <phoneticPr fontId="27"/>
  </si>
  <si>
    <t xml:space="preserve"> 後期高齢者支援金等
</t>
    <phoneticPr fontId="27"/>
  </si>
  <si>
    <t xml:space="preserve"> 前期高齢者
  納付金等
</t>
    <phoneticPr fontId="27"/>
  </si>
  <si>
    <t xml:space="preserve"> 高額医療費
共同事業拠出金
</t>
    <rPh sb="11" eb="12">
      <t>キョ</t>
    </rPh>
    <rPh sb="12" eb="13">
      <t>デ</t>
    </rPh>
    <rPh sb="13" eb="14">
      <t>キン</t>
    </rPh>
    <phoneticPr fontId="27"/>
  </si>
  <si>
    <t>調整↑</t>
    <rPh sb="0" eb="2">
      <t>チョウセイ</t>
    </rPh>
    <phoneticPr fontId="27"/>
  </si>
  <si>
    <t>図3-1</t>
  </si>
  <si>
    <t>収支状況構成比の推移（歳入）ｸﾞﾗﾌデータ</t>
    <rPh sb="0" eb="2">
      <t>シュウシ</t>
    </rPh>
    <rPh sb="2" eb="4">
      <t>ジョウキョウ</t>
    </rPh>
    <rPh sb="8" eb="10">
      <t>スイイ</t>
    </rPh>
    <rPh sb="11" eb="13">
      <t>サイニュウ</t>
    </rPh>
    <phoneticPr fontId="27"/>
  </si>
  <si>
    <t>100-左全部</t>
    <rPh sb="4" eb="5">
      <t>ヒダリ</t>
    </rPh>
    <rPh sb="5" eb="7">
      <t>ゼンブ</t>
    </rPh>
    <phoneticPr fontId="27"/>
  </si>
  <si>
    <t>保険料</t>
  </si>
  <si>
    <t>療養給付費交付金</t>
  </si>
  <si>
    <t>共同事業交付金</t>
    <rPh sb="0" eb="2">
      <t>キョウドウ</t>
    </rPh>
    <rPh sb="2" eb="4">
      <t>ジギョウ</t>
    </rPh>
    <rPh sb="4" eb="7">
      <t>コウフキン</t>
    </rPh>
    <phoneticPr fontId="27"/>
  </si>
  <si>
    <t>その他収入</t>
  </si>
  <si>
    <t>療養給付費負担金</t>
    <rPh sb="5" eb="7">
      <t>フタン</t>
    </rPh>
    <phoneticPr fontId="27"/>
  </si>
  <si>
    <t>国庫支出金のゼロ判定用</t>
    <rPh sb="0" eb="2">
      <t>コッコ</t>
    </rPh>
    <rPh sb="2" eb="5">
      <t>シシュツキン</t>
    </rPh>
    <rPh sb="8" eb="10">
      <t>ハンテイ</t>
    </rPh>
    <rPh sb="10" eb="11">
      <t>ヨウ</t>
    </rPh>
    <phoneticPr fontId="35"/>
  </si>
  <si>
    <t>最終的に</t>
    <rPh sb="0" eb="3">
      <t>サイシュウテキ</t>
    </rPh>
    <phoneticPr fontId="35"/>
  </si>
  <si>
    <t>注意書き用</t>
    <rPh sb="0" eb="3">
      <t>チュウイガ</t>
    </rPh>
    <rPh sb="4" eb="5">
      <t>ヨウ</t>
    </rPh>
    <phoneticPr fontId="35"/>
  </si>
  <si>
    <t>20年度は高額介護合算療養費(一般/退職)は数値がゼロなので使用していない</t>
    <rPh sb="2" eb="4">
      <t>ネンド</t>
    </rPh>
    <rPh sb="5" eb="7">
      <t>コウガク</t>
    </rPh>
    <rPh sb="7" eb="9">
      <t>カイゴ</t>
    </rPh>
    <rPh sb="9" eb="11">
      <t>ガッサン</t>
    </rPh>
    <rPh sb="11" eb="14">
      <t>リョウヨウヒ</t>
    </rPh>
    <rPh sb="15" eb="17">
      <t>イッパン</t>
    </rPh>
    <rPh sb="18" eb="20">
      <t>タイショク</t>
    </rPh>
    <rPh sb="22" eb="24">
      <t>スウチ</t>
    </rPh>
    <rPh sb="30" eb="32">
      <t>シヨウ</t>
    </rPh>
    <phoneticPr fontId="27"/>
  </si>
  <si>
    <t>保険事業費にB1-54とB1-55を加算</t>
    <rPh sb="0" eb="2">
      <t>ホケン</t>
    </rPh>
    <rPh sb="2" eb="5">
      <t>ジギョウヒ</t>
    </rPh>
    <rPh sb="18" eb="20">
      <t>カサン</t>
    </rPh>
    <phoneticPr fontId="27"/>
  </si>
  <si>
    <t>その他と老健の間に後期高齢/前期高齢を追加？</t>
    <rPh sb="2" eb="3">
      <t>タ</t>
    </rPh>
    <rPh sb="4" eb="6">
      <t>ロウケン</t>
    </rPh>
    <rPh sb="7" eb="8">
      <t>アイダ</t>
    </rPh>
    <rPh sb="9" eb="11">
      <t>コウキ</t>
    </rPh>
    <rPh sb="11" eb="13">
      <t>コウレイ</t>
    </rPh>
    <rPh sb="14" eb="16">
      <t>ゼンキ</t>
    </rPh>
    <rPh sb="16" eb="18">
      <t>コウレイ</t>
    </rPh>
    <rPh sb="19" eb="21">
      <t>ツイカ</t>
    </rPh>
    <phoneticPr fontId="27"/>
  </si>
  <si>
    <t>図3-2</t>
  </si>
  <si>
    <t>収支状況構成比の推移（歳出）ｸﾞﾗﾌデータ</t>
    <rPh sb="0" eb="2">
      <t>シュウシ</t>
    </rPh>
    <rPh sb="2" eb="4">
      <t>ジョウキョウ</t>
    </rPh>
    <rPh sb="8" eb="10">
      <t>スイイ</t>
    </rPh>
    <rPh sb="11" eb="13">
      <t>サイシュツ</t>
    </rPh>
    <phoneticPr fontId="27"/>
  </si>
  <si>
    <t>高額療養費</t>
    <phoneticPr fontId="27"/>
  </si>
  <si>
    <t>一般療養諸費</t>
  </si>
  <si>
    <t>退職療養諸費</t>
  </si>
  <si>
    <t>その他給付</t>
  </si>
  <si>
    <t>後期高齢者支援金</t>
    <rPh sb="0" eb="2">
      <t>コウキ</t>
    </rPh>
    <rPh sb="2" eb="4">
      <t>コウレイ</t>
    </rPh>
    <rPh sb="4" eb="5">
      <t>シャ</t>
    </rPh>
    <rPh sb="5" eb="7">
      <t>シエン</t>
    </rPh>
    <rPh sb="7" eb="8">
      <t>キン</t>
    </rPh>
    <phoneticPr fontId="27"/>
  </si>
  <si>
    <t>前期高齢者納付金</t>
    <rPh sb="0" eb="2">
      <t>ゼンキ</t>
    </rPh>
    <rPh sb="2" eb="4">
      <t>コウレイ</t>
    </rPh>
    <rPh sb="4" eb="5">
      <t>シャ</t>
    </rPh>
    <rPh sb="5" eb="7">
      <t>ノウフ</t>
    </rPh>
    <rPh sb="7" eb="8">
      <t>キン</t>
    </rPh>
    <phoneticPr fontId="27"/>
  </si>
  <si>
    <t>国民健康保険事業費納付金—医療給付分</t>
    <phoneticPr fontId="35"/>
  </si>
  <si>
    <t>国民健康保険事業費納付金—後期高齢者分</t>
    <phoneticPr fontId="35"/>
  </si>
  <si>
    <t>国民健康保険事業費納付金—介護納付金分</t>
    <phoneticPr fontId="35"/>
  </si>
  <si>
    <t>共同事業拠出金</t>
    <rPh sb="0" eb="2">
      <t>キョウドウ</t>
    </rPh>
    <rPh sb="2" eb="4">
      <t>ジギョウ</t>
    </rPh>
    <rPh sb="4" eb="7">
      <t>キョシュツキン</t>
    </rPh>
    <phoneticPr fontId="27"/>
  </si>
  <si>
    <t>その他支出</t>
  </si>
  <si>
    <t>一般</t>
    <rPh sb="0" eb="2">
      <t>イッパン</t>
    </rPh>
    <phoneticPr fontId="27"/>
  </si>
  <si>
    <t>退職</t>
    <rPh sb="0" eb="2">
      <t>タイショク</t>
    </rPh>
    <phoneticPr fontId="27"/>
  </si>
  <si>
    <t>保健事業費</t>
    <phoneticPr fontId="27"/>
  </si>
  <si>
    <t>図１  世帯数・被保険者総数の推移　</t>
    <rPh sb="12" eb="14">
      <t>ソウスウ</t>
    </rPh>
    <phoneticPr fontId="27"/>
  </si>
  <si>
    <t>図３-１  収支状況構成比の推移（歳入）</t>
    <rPh sb="17" eb="19">
      <t>サイニュウ</t>
    </rPh>
    <phoneticPr fontId="27"/>
  </si>
  <si>
    <t>図３-２  収支状況構成比の推移（歳出）</t>
    <rPh sb="17" eb="19">
      <t>サイシュツ</t>
    </rPh>
    <phoneticPr fontId="27"/>
  </si>
  <si>
    <t>(単位：％)</t>
  </si>
  <si>
    <t>-</t>
    <phoneticPr fontId="27"/>
  </si>
  <si>
    <t>対前年度比
（％）</t>
    <rPh sb="0" eb="4">
      <t>タイゼンネンド</t>
    </rPh>
    <rPh sb="4" eb="5">
      <t>ヒ</t>
    </rPh>
    <phoneticPr fontId="35"/>
  </si>
  <si>
    <t>２  保険財政の状況</t>
    <phoneticPr fontId="35"/>
  </si>
  <si>
    <t>市町村</t>
    <phoneticPr fontId="27"/>
  </si>
  <si>
    <t>特別区</t>
    <phoneticPr fontId="27"/>
  </si>
  <si>
    <t>10年前</t>
    <rPh sb="2" eb="4">
      <t>ネンマエ</t>
    </rPh>
    <phoneticPr fontId="27"/>
  </si>
  <si>
    <t>9年前</t>
    <rPh sb="1" eb="3">
      <t>ネンマエ</t>
    </rPh>
    <phoneticPr fontId="27"/>
  </si>
  <si>
    <t>8年前</t>
    <rPh sb="1" eb="3">
      <t>ネンマエ</t>
    </rPh>
    <phoneticPr fontId="27"/>
  </si>
  <si>
    <t>7年前</t>
    <rPh sb="1" eb="3">
      <t>ネンマエ</t>
    </rPh>
    <phoneticPr fontId="27"/>
  </si>
  <si>
    <t>6年前</t>
    <rPh sb="1" eb="3">
      <t>ネンマエ</t>
    </rPh>
    <phoneticPr fontId="27"/>
  </si>
  <si>
    <t>5年前</t>
    <rPh sb="1" eb="3">
      <t>ネンマエ</t>
    </rPh>
    <phoneticPr fontId="27"/>
  </si>
  <si>
    <t>4年前</t>
    <rPh sb="1" eb="3">
      <t>ネンマエ</t>
    </rPh>
    <phoneticPr fontId="27"/>
  </si>
  <si>
    <t>前々々年度</t>
    <rPh sb="0" eb="2">
      <t>マエマエ</t>
    </rPh>
    <rPh sb="3" eb="5">
      <t>ネンド</t>
    </rPh>
    <phoneticPr fontId="35"/>
  </si>
  <si>
    <t>前々年度</t>
    <rPh sb="0" eb="2">
      <t>マエマエ</t>
    </rPh>
    <rPh sb="2" eb="4">
      <t>ネンド</t>
    </rPh>
    <phoneticPr fontId="35"/>
  </si>
  <si>
    <t>前年度</t>
    <rPh sb="0" eb="3">
      <t>ゼンネンド</t>
    </rPh>
    <phoneticPr fontId="35"/>
  </si>
  <si>
    <t>当年度</t>
    <rPh sb="0" eb="1">
      <t>トウ</t>
    </rPh>
    <rPh sb="1" eb="3">
      <t>ネンド</t>
    </rPh>
    <phoneticPr fontId="35"/>
  </si>
  <si>
    <t>西暦</t>
    <rPh sb="0" eb="2">
      <t>セイレキ</t>
    </rPh>
    <phoneticPr fontId="27"/>
  </si>
  <si>
    <t>和暦年</t>
    <rPh sb="0" eb="2">
      <t>ワレキ</t>
    </rPh>
    <rPh sb="2" eb="3">
      <t>ドシ</t>
    </rPh>
    <phoneticPr fontId="35"/>
  </si>
  <si>
    <t>和暦年度</t>
    <rPh sb="0" eb="2">
      <t>ワレキ</t>
    </rPh>
    <rPh sb="2" eb="4">
      <t>ネンド</t>
    </rPh>
    <phoneticPr fontId="35"/>
  </si>
  <si>
    <t>元号</t>
    <rPh sb="0" eb="2">
      <t>ゲンゴウ</t>
    </rPh>
    <phoneticPr fontId="35"/>
  </si>
  <si>
    <t>（単位：円・％）</t>
    <rPh sb="1" eb="3">
      <t>タンイ</t>
    </rPh>
    <rPh sb="4" eb="5">
      <t>エン</t>
    </rPh>
    <phoneticPr fontId="27"/>
  </si>
  <si>
    <t>都</t>
    <rPh sb="0" eb="1">
      <t>ト</t>
    </rPh>
    <phoneticPr fontId="27"/>
  </si>
  <si>
    <t>公</t>
    <rPh sb="0" eb="1">
      <t>コウ</t>
    </rPh>
    <phoneticPr fontId="27"/>
  </si>
  <si>
    <t>営</t>
    <rPh sb="0" eb="1">
      <t>コウエイ</t>
    </rPh>
    <phoneticPr fontId="27"/>
  </si>
  <si>
    <t>計</t>
    <rPh sb="0" eb="1">
      <t>ケイ</t>
    </rPh>
    <phoneticPr fontId="27"/>
  </si>
  <si>
    <t>特</t>
    <rPh sb="0" eb="1">
      <t>トク</t>
    </rPh>
    <phoneticPr fontId="27"/>
  </si>
  <si>
    <t>全体分調定額</t>
    <rPh sb="0" eb="2">
      <t>ゼンタイ</t>
    </rPh>
    <rPh sb="2" eb="3">
      <t>ブン</t>
    </rPh>
    <rPh sb="3" eb="5">
      <t>チョウテイ</t>
    </rPh>
    <rPh sb="5" eb="6">
      <t>ガク</t>
    </rPh>
    <phoneticPr fontId="27"/>
  </si>
  <si>
    <t>別</t>
    <phoneticPr fontId="27"/>
  </si>
  <si>
    <t>前年</t>
    <rPh sb="0" eb="2">
      <t>ゼンネン</t>
    </rPh>
    <phoneticPr fontId="27"/>
  </si>
  <si>
    <t>区</t>
    <phoneticPr fontId="27"/>
  </si>
  <si>
    <t>当年</t>
    <rPh sb="0" eb="2">
      <t>トウネン</t>
    </rPh>
    <phoneticPr fontId="27"/>
  </si>
  <si>
    <t>市</t>
    <rPh sb="0" eb="1">
      <t>シ</t>
    </rPh>
    <phoneticPr fontId="27"/>
  </si>
  <si>
    <t>組</t>
    <rPh sb="0" eb="1">
      <t>クミ</t>
    </rPh>
    <phoneticPr fontId="27"/>
  </si>
  <si>
    <t>保 険 料（ 税 )</t>
  </si>
  <si>
    <t>保 険 料 (税)</t>
  </si>
  <si>
    <t>(現年分)</t>
  </si>
  <si>
    <t>文書表示用項目</t>
    <rPh sb="0" eb="2">
      <t>ブンショ</t>
    </rPh>
    <rPh sb="2" eb="4">
      <t>ヒョウジ</t>
    </rPh>
    <rPh sb="4" eb="5">
      <t>ヨウ</t>
    </rPh>
    <rPh sb="5" eb="7">
      <t>コウモク</t>
    </rPh>
    <phoneticPr fontId="27"/>
  </si>
  <si>
    <t>１人当たり調定額</t>
    <rPh sb="0" eb="2">
      <t>ヒトリ</t>
    </rPh>
    <rPh sb="2" eb="3">
      <t>ア</t>
    </rPh>
    <rPh sb="5" eb="7">
      <t>チョウテイ</t>
    </rPh>
    <rPh sb="7" eb="8">
      <t>ガク</t>
    </rPh>
    <phoneticPr fontId="27"/>
  </si>
  <si>
    <t>収納率</t>
    <rPh sb="0" eb="2">
      <t>シュウノウ</t>
    </rPh>
    <rPh sb="2" eb="3">
      <t>リツ</t>
    </rPh>
    <phoneticPr fontId="27"/>
  </si>
  <si>
    <t>区</t>
    <rPh sb="0" eb="1">
      <t>ク</t>
    </rPh>
    <phoneticPr fontId="27"/>
  </si>
  <si>
    <t>村</t>
    <rPh sb="0" eb="1">
      <t>ソン</t>
    </rPh>
    <phoneticPr fontId="27"/>
  </si>
  <si>
    <t>（単位：％）</t>
    <rPh sb="1" eb="3">
      <t>タンイ</t>
    </rPh>
    <phoneticPr fontId="27"/>
  </si>
  <si>
    <t>区分・年度</t>
    <rPh sb="0" eb="2">
      <t>クブン</t>
    </rPh>
    <rPh sb="3" eb="5">
      <t>ネンド</t>
    </rPh>
    <phoneticPr fontId="27"/>
  </si>
  <si>
    <t>表８  保険料（税）調定額</t>
    <phoneticPr fontId="27"/>
  </si>
  <si>
    <t>表９  １人当たり保険料(税)等</t>
    <phoneticPr fontId="27"/>
  </si>
  <si>
    <t xml:space="preserve">    図４  現年分保険料（税）収納率の推移</t>
    <phoneticPr fontId="27"/>
  </si>
  <si>
    <t xml:space="preserve"> 調 定 額</t>
    <phoneticPr fontId="27"/>
  </si>
  <si>
    <t>公営計</t>
    <rPh sb="0" eb="2">
      <t>コウエイ</t>
    </rPh>
    <rPh sb="2" eb="3">
      <t>ケイ</t>
    </rPh>
    <phoneticPr fontId="27"/>
  </si>
  <si>
    <t>組合</t>
    <phoneticPr fontId="27"/>
  </si>
  <si>
    <t>合計</t>
    <rPh sb="0" eb="2">
      <t>ゴウケイ</t>
    </rPh>
    <phoneticPr fontId="27"/>
  </si>
  <si>
    <t>項目軸</t>
    <rPh sb="0" eb="2">
      <t>コウモク</t>
    </rPh>
    <rPh sb="2" eb="3">
      <t>ジク</t>
    </rPh>
    <phoneticPr fontId="27"/>
  </si>
  <si>
    <t>歯科</t>
  </si>
  <si>
    <t>前年比</t>
    <rPh sb="0" eb="3">
      <t>ゼンネンヒ</t>
    </rPh>
    <phoneticPr fontId="27"/>
  </si>
  <si>
    <t>入院</t>
  </si>
  <si>
    <t>受診率</t>
    <rPh sb="0" eb="2">
      <t>ジュシン</t>
    </rPh>
    <rPh sb="2" eb="3">
      <t>リツ</t>
    </rPh>
    <phoneticPr fontId="27"/>
  </si>
  <si>
    <t>歯科</t>
    <rPh sb="0" eb="2">
      <t>シカ</t>
    </rPh>
    <phoneticPr fontId="27"/>
  </si>
  <si>
    <t>入院外</t>
    <rPh sb="0" eb="2">
      <t>ニュウイン</t>
    </rPh>
    <rPh sb="2" eb="3">
      <t>ガイ</t>
    </rPh>
    <phoneticPr fontId="27"/>
  </si>
  <si>
    <t>入院</t>
    <rPh sb="0" eb="2">
      <t>ニュウイン</t>
    </rPh>
    <phoneticPr fontId="27"/>
  </si>
  <si>
    <t>年度</t>
    <rPh sb="0" eb="2">
      <t>ネンド</t>
    </rPh>
    <phoneticPr fontId="27"/>
  </si>
  <si>
    <t>１件当たり日数</t>
    <rPh sb="1" eb="2">
      <t>ケン</t>
    </rPh>
    <rPh sb="2" eb="3">
      <t>ア</t>
    </rPh>
    <rPh sb="5" eb="7">
      <t>ニッスウ</t>
    </rPh>
    <phoneticPr fontId="27"/>
  </si>
  <si>
    <t>1日あたり費用額</t>
    <rPh sb="1" eb="2">
      <t>ニチ</t>
    </rPh>
    <rPh sb="5" eb="7">
      <t>ヒヨウ</t>
    </rPh>
    <rPh sb="7" eb="8">
      <t>ガク</t>
    </rPh>
    <phoneticPr fontId="27"/>
  </si>
  <si>
    <t>1人あたり費用額</t>
    <rPh sb="1" eb="2">
      <t>ニン</t>
    </rPh>
    <rPh sb="5" eb="7">
      <t>ヒヨウ</t>
    </rPh>
    <rPh sb="7" eb="8">
      <t>ガク</t>
    </rPh>
    <phoneticPr fontId="27"/>
  </si>
  <si>
    <t>図10データ（１人あたり費用額）</t>
    <rPh sb="8" eb="9">
      <t>ニン</t>
    </rPh>
    <phoneticPr fontId="27"/>
  </si>
  <si>
    <t>費  用  額</t>
  </si>
  <si>
    <t>日  数</t>
  </si>
  <si>
    <t>件  数</t>
  </si>
  <si>
    <t>費    用    額</t>
  </si>
  <si>
    <t>日    数</t>
  </si>
  <si>
    <t>件    数</t>
  </si>
  <si>
    <t>年間平均</t>
    <rPh sb="0" eb="2">
      <t>ネンカン</t>
    </rPh>
    <rPh sb="2" eb="4">
      <t>ヘイキン</t>
    </rPh>
    <phoneticPr fontId="27"/>
  </si>
  <si>
    <t>1  人  当  た  り  費   用   額</t>
  </si>
  <si>
    <t>1  日  当  た  り  費  用  額</t>
  </si>
  <si>
    <t>1  件  当  た  り  日  数</t>
  </si>
  <si>
    <t>注：公営保険者の数値は３～２月診療分、組合の数値は４～３月診療分</t>
    <phoneticPr fontId="27"/>
  </si>
  <si>
    <t>医療費</t>
    <rPh sb="0" eb="3">
      <t>イリョウヒ</t>
    </rPh>
    <phoneticPr fontId="27"/>
  </si>
  <si>
    <t>３歳未満分</t>
    <rPh sb="1" eb="2">
      <t>サイ</t>
    </rPh>
    <rPh sb="2" eb="4">
      <t>ミマン</t>
    </rPh>
    <rPh sb="4" eb="5">
      <t>ブン</t>
    </rPh>
    <phoneticPr fontId="27"/>
  </si>
  <si>
    <t>１ 人 当 た り 費 用 額</t>
    <rPh sb="0" eb="5">
      <t>ヒトリア</t>
    </rPh>
    <rPh sb="10" eb="13">
      <t>ヒヨウ</t>
    </rPh>
    <rPh sb="14" eb="15">
      <t>ガク</t>
    </rPh>
    <phoneticPr fontId="27"/>
  </si>
  <si>
    <t>１ 日 当 た り 費 用 額</t>
    <rPh sb="2" eb="3">
      <t>ニチ</t>
    </rPh>
    <rPh sb="4" eb="5">
      <t>ア</t>
    </rPh>
    <rPh sb="10" eb="13">
      <t>ヒヨウ</t>
    </rPh>
    <rPh sb="14" eb="15">
      <t>ガク</t>
    </rPh>
    <phoneticPr fontId="27"/>
  </si>
  <si>
    <t>１ 件 当 た り 日 数</t>
    <rPh sb="2" eb="3">
      <t>ケン</t>
    </rPh>
    <rPh sb="4" eb="5">
      <t>ア</t>
    </rPh>
    <rPh sb="10" eb="13">
      <t>ニッスウ</t>
    </rPh>
    <phoneticPr fontId="27"/>
  </si>
  <si>
    <t>　　受　　診　　率</t>
    <rPh sb="2" eb="9">
      <t>ジュシンリツ</t>
    </rPh>
    <phoneticPr fontId="27"/>
  </si>
  <si>
    <t>組　　合</t>
    <phoneticPr fontId="27"/>
  </si>
  <si>
    <t>　</t>
    <phoneticPr fontId="27"/>
  </si>
  <si>
    <t>公　　営</t>
    <phoneticPr fontId="27"/>
  </si>
  <si>
    <t>７０歳以上一定以上所得者分</t>
    <rPh sb="2" eb="3">
      <t>サイ</t>
    </rPh>
    <rPh sb="3" eb="5">
      <t>イジョウ</t>
    </rPh>
    <rPh sb="5" eb="7">
      <t>イッテイ</t>
    </rPh>
    <rPh sb="7" eb="9">
      <t>イジョウ</t>
    </rPh>
    <rPh sb="9" eb="12">
      <t>ショトクシャ</t>
    </rPh>
    <rPh sb="12" eb="13">
      <t>ブン</t>
    </rPh>
    <phoneticPr fontId="27"/>
  </si>
  <si>
    <t>７０歳以上一般分</t>
    <rPh sb="2" eb="3">
      <t>サイ</t>
    </rPh>
    <rPh sb="3" eb="5">
      <t>イジョウ</t>
    </rPh>
    <rPh sb="5" eb="7">
      <t>イッパン</t>
    </rPh>
    <rPh sb="7" eb="8">
      <t>ブン</t>
    </rPh>
    <phoneticPr fontId="27"/>
  </si>
  <si>
    <t>前期高齢者分</t>
    <rPh sb="0" eb="2">
      <t>ゼンキ</t>
    </rPh>
    <rPh sb="2" eb="5">
      <t>コウレイシャ</t>
    </rPh>
    <rPh sb="5" eb="6">
      <t>ブン</t>
    </rPh>
    <phoneticPr fontId="27"/>
  </si>
  <si>
    <t>入院分</t>
    <rPh sb="0" eb="2">
      <t>ニュウイン</t>
    </rPh>
    <rPh sb="2" eb="3">
      <t>ブン</t>
    </rPh>
    <phoneticPr fontId="27"/>
  </si>
  <si>
    <t>多数該当</t>
    <phoneticPr fontId="27"/>
  </si>
  <si>
    <t>（再掲）</t>
    <rPh sb="1" eb="3">
      <t>サイケイ</t>
    </rPh>
    <phoneticPr fontId="27"/>
  </si>
  <si>
    <t>他法併用分</t>
    <rPh sb="0" eb="2">
      <t>タホウ</t>
    </rPh>
    <rPh sb="2" eb="4">
      <t>ヘイヨウ</t>
    </rPh>
    <rPh sb="4" eb="5">
      <t>ブン</t>
    </rPh>
    <phoneticPr fontId="27"/>
  </si>
  <si>
    <t>現物給付分</t>
    <phoneticPr fontId="27"/>
  </si>
  <si>
    <t>合　　計</t>
    <rPh sb="0" eb="4">
      <t>ゴウケイ</t>
    </rPh>
    <phoneticPr fontId="27"/>
  </si>
  <si>
    <t>　　　　単　　独　　分</t>
    <rPh sb="4" eb="5">
      <t>タン</t>
    </rPh>
    <rPh sb="7" eb="8">
      <t>ドク</t>
    </rPh>
    <rPh sb="10" eb="11">
      <t>ブン</t>
    </rPh>
    <phoneticPr fontId="27"/>
  </si>
  <si>
    <t>　　        合　算　分</t>
    <rPh sb="14" eb="15">
      <t>ブン</t>
    </rPh>
    <phoneticPr fontId="27"/>
  </si>
  <si>
    <t>区　　　　　分</t>
    <rPh sb="0" eb="7">
      <t>クブン</t>
    </rPh>
    <phoneticPr fontId="27"/>
  </si>
  <si>
    <t>合　計</t>
    <rPh sb="0" eb="3">
      <t>ゴウケイ</t>
    </rPh>
    <phoneticPr fontId="27"/>
  </si>
  <si>
    <t>注：高額介護合算療養費制度は、平成20年4月1日より施行。平成21年8月1日から申請が開始された。</t>
    <rPh sb="0" eb="1">
      <t>チュウ</t>
    </rPh>
    <rPh sb="2" eb="4">
      <t>コウガク</t>
    </rPh>
    <rPh sb="4" eb="6">
      <t>カイゴ</t>
    </rPh>
    <rPh sb="6" eb="8">
      <t>ガッサン</t>
    </rPh>
    <rPh sb="8" eb="11">
      <t>リョウヨウヒ</t>
    </rPh>
    <rPh sb="11" eb="13">
      <t>セイド</t>
    </rPh>
    <rPh sb="15" eb="17">
      <t>ヘイセイ</t>
    </rPh>
    <rPh sb="19" eb="20">
      <t>ネン</t>
    </rPh>
    <rPh sb="21" eb="22">
      <t>ガツ</t>
    </rPh>
    <rPh sb="23" eb="24">
      <t>ニチ</t>
    </rPh>
    <rPh sb="26" eb="28">
      <t>シコウ</t>
    </rPh>
    <rPh sb="29" eb="31">
      <t>ヘイセイ</t>
    </rPh>
    <rPh sb="33" eb="34">
      <t>ネン</t>
    </rPh>
    <rPh sb="35" eb="36">
      <t>ガツ</t>
    </rPh>
    <rPh sb="37" eb="38">
      <t>ニチ</t>
    </rPh>
    <rPh sb="40" eb="42">
      <t>シンセイ</t>
    </rPh>
    <rPh sb="43" eb="45">
      <t>カイシ</t>
    </rPh>
    <phoneticPr fontId="27"/>
  </si>
  <si>
    <t>図５データ（受診率）</t>
    <rPh sb="0" eb="1">
      <t>ズ</t>
    </rPh>
    <rPh sb="6" eb="9">
      <t>ジュシンリツ</t>
    </rPh>
    <phoneticPr fontId="27"/>
  </si>
  <si>
    <t>図６データ（１件あたり日数）</t>
    <rPh sb="7" eb="8">
      <t>ケン</t>
    </rPh>
    <rPh sb="11" eb="13">
      <t>ニッスウ</t>
    </rPh>
    <phoneticPr fontId="27"/>
  </si>
  <si>
    <t>図７データ（１日あたり費用額）</t>
    <rPh sb="7" eb="8">
      <t>ヒ</t>
    </rPh>
    <rPh sb="11" eb="13">
      <t>ヒヨウ</t>
    </rPh>
    <rPh sb="13" eb="14">
      <t>ガク</t>
    </rPh>
    <phoneticPr fontId="27"/>
  </si>
  <si>
    <t>表１２－２  診療費諸率（再掲分）</t>
    <rPh sb="13" eb="15">
      <t>サイケイ</t>
    </rPh>
    <rPh sb="15" eb="16">
      <t>ブン</t>
    </rPh>
    <phoneticPr fontId="27"/>
  </si>
  <si>
    <t xml:space="preserve">  表１４－１  高額療養費の内訳（全体分）</t>
    <rPh sb="18" eb="20">
      <t>ゼンタイ</t>
    </rPh>
    <rPh sb="20" eb="21">
      <t>ブン</t>
    </rPh>
    <phoneticPr fontId="27"/>
  </si>
  <si>
    <t>－７０歳以上一般分－</t>
    <phoneticPr fontId="27"/>
  </si>
  <si>
    <t>－７０歳以上現役並み所得者分－</t>
    <phoneticPr fontId="27"/>
  </si>
  <si>
    <t xml:space="preserve"> (４) 高額介護合算療養費の状況</t>
    <phoneticPr fontId="27"/>
  </si>
  <si>
    <t>表２  異 動 率 （異動被保険者数／年間平均被保険者数×100）</t>
    <phoneticPr fontId="27"/>
  </si>
  <si>
    <t>公  営　計</t>
    <rPh sb="5" eb="6">
      <t>ケイ</t>
    </rPh>
    <phoneticPr fontId="27"/>
  </si>
  <si>
    <t>表４－１　決算状況の推移（東京都）</t>
    <rPh sb="0" eb="1">
      <t>ヒョウ</t>
    </rPh>
    <rPh sb="5" eb="7">
      <t>ケッサン</t>
    </rPh>
    <rPh sb="7" eb="9">
      <t>ジョウキョウ</t>
    </rPh>
    <rPh sb="10" eb="12">
      <t>スイイ</t>
    </rPh>
    <rPh sb="13" eb="16">
      <t>トウキョウト</t>
    </rPh>
    <phoneticPr fontId="35"/>
  </si>
  <si>
    <t>図２－１財政収支状況(特別区)</t>
    <phoneticPr fontId="35"/>
  </si>
  <si>
    <t>図２－２ 財政収支状況(市町村)</t>
    <phoneticPr fontId="27"/>
  </si>
  <si>
    <t>図２－３ 財政収支状況(組合)</t>
    <phoneticPr fontId="27"/>
  </si>
  <si>
    <t>表６  公営保険者の賦課方式</t>
    <phoneticPr fontId="27"/>
  </si>
  <si>
    <t>賦課限度額(万円)</t>
  </si>
  <si>
    <t xml:space="preserve"> (１) 賦課方式等（公営）</t>
    <rPh sb="5" eb="10">
      <t>フカホウシキトウ</t>
    </rPh>
    <rPh sb="11" eb="13">
      <t>コウエイ</t>
    </rPh>
    <phoneticPr fontId="27"/>
  </si>
  <si>
    <t>３  保険料(税)の状況（現年分）</t>
    <rPh sb="13" eb="14">
      <t>ゲン</t>
    </rPh>
    <phoneticPr fontId="27"/>
  </si>
  <si>
    <t>公　　　　営</t>
    <rPh sb="0" eb="1">
      <t>コウ</t>
    </rPh>
    <rPh sb="5" eb="6">
      <t>エイ</t>
    </rPh>
    <phoneticPr fontId="27"/>
  </si>
  <si>
    <t>連合会支出金</t>
    <rPh sb="0" eb="3">
      <t>レンゴウカイ</t>
    </rPh>
    <rPh sb="3" eb="5">
      <t>シシュツ</t>
    </rPh>
    <rPh sb="5" eb="6">
      <t>キン</t>
    </rPh>
    <phoneticPr fontId="35"/>
  </si>
  <si>
    <t>歳　　　入</t>
    <rPh sb="0" eb="1">
      <t>サイ</t>
    </rPh>
    <rPh sb="4" eb="5">
      <t>ニュウ</t>
    </rPh>
    <phoneticPr fontId="35"/>
  </si>
  <si>
    <t>歳　　　出</t>
    <rPh sb="0" eb="1">
      <t>サイ</t>
    </rPh>
    <rPh sb="4" eb="5">
      <t>デ</t>
    </rPh>
    <phoneticPr fontId="35"/>
  </si>
  <si>
    <t>その他の収入</t>
    <rPh sb="2" eb="3">
      <t>タ</t>
    </rPh>
    <rPh sb="4" eb="6">
      <t>シュウニュウ</t>
    </rPh>
    <phoneticPr fontId="35"/>
  </si>
  <si>
    <t>歳　　入</t>
    <rPh sb="0" eb="1">
      <t>サイ</t>
    </rPh>
    <rPh sb="3" eb="4">
      <t>ニュウ</t>
    </rPh>
    <phoneticPr fontId="35"/>
  </si>
  <si>
    <t>歳　　出</t>
    <rPh sb="0" eb="1">
      <t>サイ</t>
    </rPh>
    <rPh sb="3" eb="4">
      <t>デ</t>
    </rPh>
    <phoneticPr fontId="35"/>
  </si>
  <si>
    <t>令和〇年度の収支差引（決算収支）は表５のとおりである。</t>
    <rPh sb="6" eb="8">
      <t>シュウシ</t>
    </rPh>
    <rPh sb="8" eb="10">
      <t>サシヒキ</t>
    </rPh>
    <rPh sb="11" eb="13">
      <t>ケッサン</t>
    </rPh>
    <rPh sb="13" eb="15">
      <t>シュウシ</t>
    </rPh>
    <rPh sb="17" eb="18">
      <t>ヒョウ</t>
    </rPh>
    <phoneticPr fontId="35"/>
  </si>
  <si>
    <t>表５―１　収支状況の推移（公営）</t>
    <rPh sb="0" eb="1">
      <t>ヒョウ</t>
    </rPh>
    <rPh sb="5" eb="7">
      <t>シュウシ</t>
    </rPh>
    <rPh sb="7" eb="9">
      <t>ジョウキョウ</t>
    </rPh>
    <rPh sb="10" eb="12">
      <t>スイイ</t>
    </rPh>
    <rPh sb="13" eb="15">
      <t>コウエイ</t>
    </rPh>
    <phoneticPr fontId="35"/>
  </si>
  <si>
    <t>表５―２　収支状況の推移（組合）</t>
    <rPh sb="0" eb="1">
      <t>ヒョウ</t>
    </rPh>
    <rPh sb="5" eb="7">
      <t>シュウシ</t>
    </rPh>
    <rPh sb="7" eb="9">
      <t>ジョウキョウ</t>
    </rPh>
    <rPh sb="10" eb="12">
      <t>スイイ</t>
    </rPh>
    <rPh sb="13" eb="15">
      <t>クミアイ</t>
    </rPh>
    <phoneticPr fontId="35"/>
  </si>
  <si>
    <t>注：公営の場合は、一般被保険者分のみである。</t>
    <rPh sb="0" eb="1">
      <t>チュウ</t>
    </rPh>
    <rPh sb="2" eb="4">
      <t>コウエイ</t>
    </rPh>
    <rPh sb="5" eb="7">
      <t>バアイ</t>
    </rPh>
    <rPh sb="9" eb="11">
      <t>イッパン</t>
    </rPh>
    <rPh sb="11" eb="15">
      <t>ヒホケンシャ</t>
    </rPh>
    <rPh sb="15" eb="16">
      <t>ブン</t>
    </rPh>
    <phoneticPr fontId="27"/>
  </si>
  <si>
    <t>区分</t>
    <rPh sb="0" eb="2">
      <t>クブン</t>
    </rPh>
    <phoneticPr fontId="27"/>
  </si>
  <si>
    <t xml:space="preserve">  表１４－２  高額療養費の内訳（再掲分）</t>
    <rPh sb="18" eb="20">
      <t>サイケイ</t>
    </rPh>
    <rPh sb="20" eb="21">
      <t>ブン</t>
    </rPh>
    <phoneticPr fontId="27"/>
  </si>
  <si>
    <t>注：30年度の制度改正により、一部項目は経年比較ができない。</t>
    <phoneticPr fontId="27"/>
  </si>
  <si>
    <t>公営</t>
    <phoneticPr fontId="27"/>
  </si>
  <si>
    <t>表７  公営保険者の賦課限度額</t>
    <phoneticPr fontId="27"/>
  </si>
  <si>
    <t>注1：｢療養の給付等」の「合計」の件数は訪問看護分を含み、また、費用額は食事療養分と訪問看護分を含む。</t>
    <phoneticPr fontId="27"/>
  </si>
  <si>
    <t xml:space="preserve">  2：｢療養費等」の件数には、標準負担額差額支給の食事療養分と移送費の件数を含み、費用額には移送費の費用額を含む。</t>
    <phoneticPr fontId="27"/>
  </si>
  <si>
    <t xml:space="preserve">  4：数値は存在するが、千件単位で表示をしているため｢0｣表示となっている場合がある。</t>
    <rPh sb="38" eb="40">
      <t>バアイ</t>
    </rPh>
    <phoneticPr fontId="27"/>
  </si>
  <si>
    <t>注1：「療養の給付費等」の数値は、公営保険者は３～２月診療分、国保組合は４～３月診療分。</t>
    <phoneticPr fontId="27"/>
  </si>
  <si>
    <t>　2：「療養の給付等」の「合計」の件数は訪問看護分を含み、また、費用額は食事療養・生活療</t>
    <phoneticPr fontId="27"/>
  </si>
  <si>
    <t>　3：「療養費等」の件数には、標準負担額差額支給の食事療養分と移送費の件数を含み、費用額</t>
    <phoneticPr fontId="27"/>
  </si>
  <si>
    <t>　　 には移送費の費用額を含む。</t>
    <phoneticPr fontId="27"/>
  </si>
  <si>
    <t>　　 養分と訪問看護分を含む。</t>
    <phoneticPr fontId="27"/>
  </si>
  <si>
    <t>表１２－１  診療費諸率－全体－</t>
    <rPh sb="13" eb="15">
      <t>ゼンタイ</t>
    </rPh>
    <phoneticPr fontId="27"/>
  </si>
  <si>
    <t>表１３  高額療養費の状況</t>
    <phoneticPr fontId="27"/>
  </si>
  <si>
    <t>表１０－２  療養諸費費用額の状況（再掲）</t>
    <rPh sb="18" eb="20">
      <t>サイケイ</t>
    </rPh>
    <phoneticPr fontId="27"/>
  </si>
  <si>
    <t>４  保険給付の状況</t>
    <phoneticPr fontId="27"/>
  </si>
  <si>
    <t>表１０－１  療養諸費費用額の状況　－全体分－</t>
    <phoneticPr fontId="27"/>
  </si>
  <si>
    <t>(所得割＋均等割)</t>
  </si>
  <si>
    <t>(２方式＋平等割)</t>
  </si>
  <si>
    <t>(３方式＋資産割)</t>
  </si>
  <si>
    <t xml:space="preserve"> 23特別区</t>
  </si>
  <si>
    <t>公営計</t>
    <phoneticPr fontId="27"/>
  </si>
  <si>
    <t>区分</t>
    <rPh sb="0" eb="2">
      <t>クブン</t>
    </rPh>
    <phoneticPr fontId="27"/>
  </si>
  <si>
    <t>公　　営　　計　　
（ア）</t>
    <rPh sb="0" eb="1">
      <t>コウ</t>
    </rPh>
    <rPh sb="3" eb="4">
      <t>エイ</t>
    </rPh>
    <rPh sb="6" eb="7">
      <t>ケイ</t>
    </rPh>
    <phoneticPr fontId="27"/>
  </si>
  <si>
    <t>前期高齢者</t>
    <phoneticPr fontId="27"/>
  </si>
  <si>
    <t>公　営　計</t>
    <rPh sb="0" eb="1">
      <t>コウ</t>
    </rPh>
    <rPh sb="2" eb="3">
      <t>エイ</t>
    </rPh>
    <rPh sb="4" eb="5">
      <t>ケイ</t>
    </rPh>
    <phoneticPr fontId="27"/>
  </si>
  <si>
    <t>区</t>
    <phoneticPr fontId="27"/>
  </si>
  <si>
    <t>特別区</t>
    <phoneticPr fontId="27"/>
  </si>
  <si>
    <t>組　　　合</t>
    <phoneticPr fontId="27"/>
  </si>
  <si>
    <t>公営計</t>
    <rPh sb="0" eb="2">
      <t>コウエイ</t>
    </rPh>
    <rPh sb="2" eb="3">
      <t>ケイ</t>
    </rPh>
    <phoneticPr fontId="27"/>
  </si>
  <si>
    <t>特別区</t>
    <rPh sb="0" eb="2">
      <t>トクベツ</t>
    </rPh>
    <rPh sb="2" eb="3">
      <t>ク</t>
    </rPh>
    <phoneticPr fontId="27"/>
  </si>
  <si>
    <t>市町村</t>
    <rPh sb="0" eb="3">
      <t>シチョウソン</t>
    </rPh>
    <phoneticPr fontId="27"/>
  </si>
  <si>
    <t>年
度</t>
    <rPh sb="0" eb="1">
      <t>ネン</t>
    </rPh>
    <rPh sb="3" eb="4">
      <t>ド</t>
    </rPh>
    <phoneticPr fontId="27"/>
  </si>
  <si>
    <t>区
分</t>
    <rPh sb="3" eb="4">
      <t>ブン</t>
    </rPh>
    <phoneticPr fontId="27"/>
  </si>
  <si>
    <t>都　計</t>
    <rPh sb="0" eb="1">
      <t>ト</t>
    </rPh>
    <rPh sb="2" eb="3">
      <t>ケイ</t>
    </rPh>
    <phoneticPr fontId="27"/>
  </si>
  <si>
    <t>図６  １件当たり日数（診療費）</t>
    <rPh sb="12" eb="15">
      <t>シンリョウヒ</t>
    </rPh>
    <phoneticPr fontId="27"/>
  </si>
  <si>
    <t>図７ １日当たり費用額（診療費）</t>
    <phoneticPr fontId="27"/>
  </si>
  <si>
    <t>図８  １人当たり費用額（診療費）</t>
    <phoneticPr fontId="27"/>
  </si>
  <si>
    <t xml:space="preserve">図５  受診率 （100人当たり受診件数) </t>
    <phoneticPr fontId="27"/>
  </si>
  <si>
    <t>公　　営　　計</t>
    <rPh sb="0" eb="1">
      <t>コウ</t>
    </rPh>
    <rPh sb="3" eb="4">
      <t>エイ</t>
    </rPh>
    <rPh sb="6" eb="7">
      <t>ケイ</t>
    </rPh>
    <phoneticPr fontId="27"/>
  </si>
  <si>
    <t>　国　保　組　合</t>
    <rPh sb="1" eb="4">
      <t>コクホ</t>
    </rPh>
    <rPh sb="5" eb="8">
      <t>クミアイ</t>
    </rPh>
    <phoneticPr fontId="27"/>
  </si>
  <si>
    <t>人     口
(4/1現在)(D)
※出典：東京都総務局統計部「住民基本台帳による世帯と人口」</t>
    <rPh sb="20" eb="22">
      <t>シュッテン</t>
    </rPh>
    <rPh sb="23" eb="26">
      <t>トウキョウト</t>
    </rPh>
    <rPh sb="26" eb="28">
      <t>ソウム</t>
    </rPh>
    <rPh sb="28" eb="29">
      <t>キョク</t>
    </rPh>
    <rPh sb="29" eb="31">
      <t>トウケイ</t>
    </rPh>
    <rPh sb="31" eb="32">
      <t>ブ</t>
    </rPh>
    <rPh sb="33" eb="35">
      <t>ジュウミン</t>
    </rPh>
    <rPh sb="35" eb="37">
      <t>キホン</t>
    </rPh>
    <rPh sb="37" eb="39">
      <t>ダイチョウ</t>
    </rPh>
    <rPh sb="42" eb="44">
      <t>セタイ</t>
    </rPh>
    <rPh sb="45" eb="47">
      <t>ジンコウ</t>
    </rPh>
    <phoneticPr fontId="27"/>
  </si>
  <si>
    <t>〈後期高齢者支援金分〉</t>
    <phoneticPr fontId="27"/>
  </si>
  <si>
    <t>〈医療給付費分〉</t>
    <phoneticPr fontId="27"/>
  </si>
  <si>
    <t>〈介護納付金分〉</t>
    <phoneticPr fontId="27"/>
  </si>
  <si>
    <t>表１５  高額介護合算療養費の状況</t>
    <rPh sb="7" eb="9">
      <t>カイゴ</t>
    </rPh>
    <rPh sb="9" eb="11">
      <t>ガッサン</t>
    </rPh>
    <rPh sb="15" eb="17">
      <t>ジョウキョウ</t>
    </rPh>
    <phoneticPr fontId="27"/>
  </si>
  <si>
    <t>多摩</t>
    <rPh sb="0" eb="2">
      <t>タマ</t>
    </rPh>
    <phoneticPr fontId="27"/>
  </si>
  <si>
    <t>島しょ</t>
    <rPh sb="0" eb="1">
      <t>トウ</t>
    </rPh>
    <phoneticPr fontId="27"/>
  </si>
  <si>
    <t>都計</t>
    <phoneticPr fontId="27"/>
  </si>
  <si>
    <t>公営計</t>
    <rPh sb="0" eb="2">
      <t>コウエイ</t>
    </rPh>
    <phoneticPr fontId="27"/>
  </si>
  <si>
    <t>A-062</t>
  </si>
  <si>
    <t>A-062</t>
    <phoneticPr fontId="27"/>
  </si>
  <si>
    <t>A-042</t>
  </si>
  <si>
    <t>A-048</t>
  </si>
  <si>
    <t>B-040</t>
    <phoneticPr fontId="35"/>
  </si>
  <si>
    <t>B-021</t>
    <phoneticPr fontId="35"/>
  </si>
  <si>
    <t>B-022</t>
    <phoneticPr fontId="35"/>
  </si>
  <si>
    <t>B-023</t>
    <phoneticPr fontId="35"/>
  </si>
  <si>
    <t>B-030</t>
    <phoneticPr fontId="35"/>
  </si>
  <si>
    <t>B-293</t>
    <phoneticPr fontId="35"/>
  </si>
  <si>
    <t>B-294</t>
    <phoneticPr fontId="27"/>
  </si>
  <si>
    <t>B-295</t>
  </si>
  <si>
    <t>B-296</t>
  </si>
  <si>
    <t>B-473</t>
    <phoneticPr fontId="27"/>
  </si>
  <si>
    <t>B-298</t>
    <phoneticPr fontId="27"/>
  </si>
  <si>
    <t>B-207</t>
    <phoneticPr fontId="27"/>
  </si>
  <si>
    <t>B-299</t>
    <phoneticPr fontId="27"/>
  </si>
  <si>
    <t>B-033</t>
    <phoneticPr fontId="35"/>
  </si>
  <si>
    <t>B-208</t>
    <phoneticPr fontId="35"/>
  </si>
  <si>
    <t>B-209</t>
    <phoneticPr fontId="27"/>
  </si>
  <si>
    <t>B-Y08</t>
    <phoneticPr fontId="35"/>
  </si>
  <si>
    <t>B-Y10</t>
    <phoneticPr fontId="27"/>
  </si>
  <si>
    <t>B-Y12</t>
    <phoneticPr fontId="27"/>
  </si>
  <si>
    <t>B-035</t>
    <phoneticPr fontId="35"/>
  </si>
  <si>
    <t>B-036</t>
    <phoneticPr fontId="35"/>
  </si>
  <si>
    <t>B-038</t>
    <phoneticPr fontId="35"/>
  </si>
  <si>
    <t>B-261</t>
    <phoneticPr fontId="35"/>
  </si>
  <si>
    <t>B-039</t>
    <phoneticPr fontId="35"/>
  </si>
  <si>
    <t>B-074</t>
    <phoneticPr fontId="27"/>
  </si>
  <si>
    <t>B-079</t>
    <phoneticPr fontId="27"/>
  </si>
  <si>
    <t>B-078</t>
    <phoneticPr fontId="27"/>
  </si>
  <si>
    <t>B-077</t>
    <phoneticPr fontId="27"/>
  </si>
  <si>
    <t>B-154</t>
    <phoneticPr fontId="27"/>
  </si>
  <si>
    <t>B-156</t>
    <phoneticPr fontId="27"/>
  </si>
  <si>
    <t>B-081</t>
    <phoneticPr fontId="27"/>
  </si>
  <si>
    <t>B-185</t>
    <phoneticPr fontId="27"/>
  </si>
  <si>
    <t>B-091</t>
    <phoneticPr fontId="27"/>
  </si>
  <si>
    <t>B-092</t>
  </si>
  <si>
    <t>B-093</t>
  </si>
  <si>
    <t>B-094</t>
  </si>
  <si>
    <t>B-095</t>
    <phoneticPr fontId="35"/>
  </si>
  <si>
    <t>B-071</t>
    <phoneticPr fontId="35"/>
  </si>
  <si>
    <t>B-074 + B-152</t>
    <phoneticPr fontId="35"/>
  </si>
  <si>
    <t>B-075</t>
    <phoneticPr fontId="35"/>
  </si>
  <si>
    <t>B-246</t>
    <phoneticPr fontId="35"/>
  </si>
  <si>
    <t>B-154 + B-077 + B-078 + B-079</t>
    <phoneticPr fontId="35"/>
  </si>
  <si>
    <t>B-080</t>
    <phoneticPr fontId="35"/>
  </si>
  <si>
    <t>B-081 + B-156</t>
    <phoneticPr fontId="35"/>
  </si>
  <si>
    <t>B-082</t>
    <phoneticPr fontId="35"/>
  </si>
  <si>
    <t>B-247</t>
    <phoneticPr fontId="35"/>
  </si>
  <si>
    <t>B-083</t>
    <phoneticPr fontId="35"/>
  </si>
  <si>
    <t>B-084</t>
    <phoneticPr fontId="27"/>
  </si>
  <si>
    <t>B-309</t>
    <phoneticPr fontId="35"/>
  </si>
  <si>
    <t>B-312</t>
    <phoneticPr fontId="35"/>
  </si>
  <si>
    <t>B-313</t>
    <phoneticPr fontId="35"/>
  </si>
  <si>
    <t>B-314</t>
    <phoneticPr fontId="35"/>
  </si>
  <si>
    <t>B-315</t>
    <phoneticPr fontId="35"/>
  </si>
  <si>
    <t>B-316</t>
    <phoneticPr fontId="27"/>
  </si>
  <si>
    <t>B-317</t>
    <phoneticPr fontId="35"/>
  </si>
  <si>
    <t>B-185 + B-091 + B-092 + B-093 + B-094</t>
    <phoneticPr fontId="35"/>
  </si>
  <si>
    <t>SUM(B-208～B-035）</t>
    <phoneticPr fontId="35"/>
  </si>
  <si>
    <t>Sum(B-036～B-039)</t>
    <phoneticPr fontId="35"/>
  </si>
  <si>
    <r>
      <rPr>
        <sz val="9"/>
        <color rgb="FF0070C0"/>
        <rFont val="明朝"/>
        <family val="3"/>
        <charset val="128"/>
      </rPr>
      <t>B</t>
    </r>
    <r>
      <rPr>
        <sz val="9"/>
        <color rgb="FF0070C0"/>
        <rFont val="ＭＳ ゴシック"/>
        <family val="3"/>
        <charset val="128"/>
      </rPr>
      <t>-</t>
    </r>
    <r>
      <rPr>
        <sz val="9"/>
        <color rgb="FF0070C0"/>
        <rFont val="明朝"/>
        <family val="3"/>
        <charset val="128"/>
      </rPr>
      <t>152</t>
    </r>
    <phoneticPr fontId="27"/>
  </si>
  <si>
    <t>B-024</t>
    <phoneticPr fontId="35"/>
  </si>
  <si>
    <t>B-025</t>
    <phoneticPr fontId="35"/>
  </si>
  <si>
    <t>B-205</t>
    <phoneticPr fontId="35"/>
  </si>
  <si>
    <t>B-222</t>
    <phoneticPr fontId="35"/>
  </si>
  <si>
    <t>B-028</t>
    <phoneticPr fontId="35"/>
  </si>
  <si>
    <t>B-328</t>
    <phoneticPr fontId="35"/>
  </si>
  <si>
    <t>B-223</t>
    <phoneticPr fontId="35"/>
  </si>
  <si>
    <t>B-224</t>
    <phoneticPr fontId="35"/>
  </si>
  <si>
    <t>B-207</t>
    <phoneticPr fontId="35"/>
  </si>
  <si>
    <t>B-299</t>
    <phoneticPr fontId="35"/>
  </si>
  <si>
    <t>B-215</t>
    <phoneticPr fontId="35"/>
  </si>
  <si>
    <t>B-71</t>
    <phoneticPr fontId="35"/>
  </si>
  <si>
    <t>B-084</t>
    <phoneticPr fontId="35"/>
  </si>
  <si>
    <t>B-250</t>
    <phoneticPr fontId="35"/>
  </si>
  <si>
    <t>B-253</t>
    <phoneticPr fontId="35"/>
  </si>
  <si>
    <t>B-179</t>
    <phoneticPr fontId="35"/>
  </si>
  <si>
    <t>B-217</t>
    <phoneticPr fontId="35"/>
  </si>
  <si>
    <t>B-090 + B-254 + B-255</t>
    <phoneticPr fontId="35"/>
  </si>
  <si>
    <t>B-090</t>
    <phoneticPr fontId="27"/>
  </si>
  <si>
    <t>B-254</t>
    <phoneticPr fontId="27"/>
  </si>
  <si>
    <t>B-255</t>
    <phoneticPr fontId="27"/>
  </si>
  <si>
    <t>新たにデータラベルを表示する場合には、データラベルの書式設定で右のようにする。</t>
    <rPh sb="0" eb="1">
      <t>アラ</t>
    </rPh>
    <rPh sb="10" eb="12">
      <t>ヒョウジ</t>
    </rPh>
    <rPh sb="14" eb="16">
      <t>バアイ</t>
    </rPh>
    <rPh sb="26" eb="28">
      <t>ショシキ</t>
    </rPh>
    <rPh sb="28" eb="30">
      <t>セッテイ</t>
    </rPh>
    <rPh sb="31" eb="32">
      <t>ミギ</t>
    </rPh>
    <phoneticPr fontId="27"/>
  </si>
  <si>
    <t>B-040</t>
    <phoneticPr fontId="27"/>
  </si>
  <si>
    <t>B-023</t>
    <phoneticPr fontId="27"/>
  </si>
  <si>
    <t>B-030</t>
    <phoneticPr fontId="27"/>
  </si>
  <si>
    <t>B-031</t>
  </si>
  <si>
    <t>B-212</t>
    <phoneticPr fontId="27"/>
  </si>
  <si>
    <t>B-206</t>
    <phoneticPr fontId="27"/>
  </si>
  <si>
    <t>B-213</t>
    <phoneticPr fontId="27"/>
  </si>
  <si>
    <t>B-224</t>
    <phoneticPr fontId="27"/>
  </si>
  <si>
    <t>B-225</t>
    <phoneticPr fontId="27"/>
  </si>
  <si>
    <t>B-293</t>
    <phoneticPr fontId="27"/>
  </si>
  <si>
    <t>B-297</t>
    <phoneticPr fontId="2"/>
  </si>
  <si>
    <t>B-298</t>
    <phoneticPr fontId="2"/>
  </si>
  <si>
    <t>B-035</t>
    <phoneticPr fontId="27"/>
  </si>
  <si>
    <t>B-208</t>
    <phoneticPr fontId="27"/>
  </si>
  <si>
    <t>B-Y06</t>
    <phoneticPr fontId="27"/>
  </si>
  <si>
    <t>B-Y08</t>
    <phoneticPr fontId="27"/>
  </si>
  <si>
    <t>B-215</t>
    <phoneticPr fontId="27"/>
  </si>
  <si>
    <t>B-216</t>
    <phoneticPr fontId="27"/>
  </si>
  <si>
    <t>B-223</t>
    <phoneticPr fontId="27"/>
  </si>
  <si>
    <t>B-031</t>
    <phoneticPr fontId="27"/>
  </si>
  <si>
    <t>B-206+B-212+B-213+B-207+B-224+B-225+B-293+B-297+B-298</t>
    <phoneticPr fontId="27"/>
  </si>
  <si>
    <t>B-215+B-216</t>
    <phoneticPr fontId="27"/>
  </si>
  <si>
    <t xml:space="preserve">- </t>
    <phoneticPr fontId="27"/>
  </si>
  <si>
    <t>B-035+B-208+B-209+B-Y06+B-Y08+B-Y10 + B-Y12</t>
    <phoneticPr fontId="27"/>
  </si>
  <si>
    <t>(B-081+B-156)/B-095</t>
    <phoneticPr fontId="27"/>
  </si>
  <si>
    <t>(B-074+B-152)/B-095</t>
    <phoneticPr fontId="27"/>
  </si>
  <si>
    <t>(B-075+B-083)/B-095</t>
    <phoneticPr fontId="27"/>
  </si>
  <si>
    <t>(B-046+B-047)/B-095</t>
    <phoneticPr fontId="27"/>
  </si>
  <si>
    <t>(B-154+B-077+B-078+B-079)/B-095</t>
    <phoneticPr fontId="27"/>
  </si>
  <si>
    <t>B-350/B-095</t>
    <phoneticPr fontId="27"/>
  </si>
  <si>
    <t>B-353/B-095</t>
    <phoneticPr fontId="27"/>
  </si>
  <si>
    <t>B-309/B-095</t>
    <phoneticPr fontId="27"/>
  </si>
  <si>
    <t>B-312/B-095</t>
    <phoneticPr fontId="27"/>
  </si>
  <si>
    <t>B-313/B-095</t>
    <phoneticPr fontId="27"/>
  </si>
  <si>
    <t>B-315/B-095</t>
    <phoneticPr fontId="27"/>
  </si>
  <si>
    <t>B-179/B-095</t>
    <phoneticPr fontId="27"/>
  </si>
  <si>
    <t>B-071/B-095</t>
    <phoneticPr fontId="27"/>
  </si>
  <si>
    <t>(B-090+B-354+B-355)/B-095</t>
    <phoneticPr fontId="27"/>
  </si>
  <si>
    <t>B-317/B-095</t>
    <phoneticPr fontId="27"/>
  </si>
  <si>
    <t>(B-217+B-218+B-219)/B-095</t>
    <phoneticPr fontId="27"/>
  </si>
  <si>
    <t>B-095</t>
    <phoneticPr fontId="27"/>
  </si>
  <si>
    <t>B-152</t>
    <phoneticPr fontId="27"/>
  </si>
  <si>
    <t>B-250</t>
    <phoneticPr fontId="27"/>
  </si>
  <si>
    <t>B-253</t>
    <phoneticPr fontId="27"/>
  </si>
  <si>
    <t>B-309</t>
    <phoneticPr fontId="27"/>
  </si>
  <si>
    <t>B-312</t>
    <phoneticPr fontId="27"/>
  </si>
  <si>
    <t>B-313</t>
    <phoneticPr fontId="27"/>
  </si>
  <si>
    <t>B-315</t>
    <phoneticPr fontId="27"/>
  </si>
  <si>
    <t>B-179</t>
    <phoneticPr fontId="27"/>
  </si>
  <si>
    <t>B-071</t>
    <phoneticPr fontId="27"/>
  </si>
  <si>
    <t>B-317</t>
    <phoneticPr fontId="27"/>
  </si>
  <si>
    <t>B-217</t>
    <phoneticPr fontId="27"/>
  </si>
  <si>
    <t>B-218</t>
    <phoneticPr fontId="27"/>
  </si>
  <si>
    <t>B-219</t>
    <phoneticPr fontId="27"/>
  </si>
  <si>
    <t>B-096</t>
    <phoneticPr fontId="27"/>
  </si>
  <si>
    <t>B-101</t>
    <phoneticPr fontId="27"/>
  </si>
  <si>
    <t>E-048</t>
    <phoneticPr fontId="27"/>
  </si>
  <si>
    <t>E-137</t>
    <phoneticPr fontId="27"/>
  </si>
  <si>
    <t>A-060</t>
    <phoneticPr fontId="27"/>
  </si>
  <si>
    <t>B-097</t>
    <phoneticPr fontId="27"/>
  </si>
  <si>
    <t>E-049</t>
    <phoneticPr fontId="27"/>
  </si>
  <si>
    <t>C-084</t>
    <phoneticPr fontId="27"/>
  </si>
  <si>
    <t>F-068</t>
    <phoneticPr fontId="27"/>
  </si>
  <si>
    <t>F-086</t>
    <phoneticPr fontId="27"/>
  </si>
  <si>
    <t>C-086</t>
    <phoneticPr fontId="27"/>
  </si>
  <si>
    <t>F-080</t>
    <phoneticPr fontId="27"/>
  </si>
  <si>
    <t>F-100</t>
    <phoneticPr fontId="27"/>
  </si>
  <si>
    <t>C-087</t>
    <phoneticPr fontId="27"/>
  </si>
  <si>
    <t>F-069</t>
    <phoneticPr fontId="27"/>
  </si>
  <si>
    <t>F-087</t>
    <phoneticPr fontId="27"/>
  </si>
  <si>
    <t>C-089</t>
    <phoneticPr fontId="27"/>
  </si>
  <si>
    <t>F-081</t>
    <phoneticPr fontId="27"/>
  </si>
  <si>
    <t>F-101</t>
    <phoneticPr fontId="27"/>
  </si>
  <si>
    <t>C-090</t>
    <phoneticPr fontId="27"/>
  </si>
  <si>
    <t>F-070</t>
    <phoneticPr fontId="27"/>
  </si>
  <si>
    <t>F-088</t>
    <phoneticPr fontId="27"/>
  </si>
  <si>
    <t>C-092</t>
    <phoneticPr fontId="27"/>
  </si>
  <si>
    <t>F-082</t>
    <phoneticPr fontId="27"/>
  </si>
  <si>
    <t>F-102</t>
    <phoneticPr fontId="27"/>
  </si>
  <si>
    <t>C-019</t>
    <phoneticPr fontId="27"/>
  </si>
  <si>
    <t>C-099</t>
    <phoneticPr fontId="27"/>
  </si>
  <si>
    <t>F-019</t>
    <phoneticPr fontId="27"/>
  </si>
  <si>
    <t>F-114</t>
    <phoneticPr fontId="27"/>
  </si>
  <si>
    <t>C-020</t>
    <phoneticPr fontId="27"/>
  </si>
  <si>
    <t>C-100</t>
    <phoneticPr fontId="27"/>
  </si>
  <si>
    <t>F-020</t>
    <phoneticPr fontId="27"/>
  </si>
  <si>
    <t>F-115</t>
    <phoneticPr fontId="27"/>
  </si>
  <si>
    <t>A067</t>
    <phoneticPr fontId="27"/>
  </si>
  <si>
    <t>C-544</t>
    <phoneticPr fontId="27"/>
  </si>
  <si>
    <t>C-549</t>
    <phoneticPr fontId="27"/>
  </si>
  <si>
    <t>C-545</t>
    <phoneticPr fontId="27"/>
  </si>
  <si>
    <t>C-550</t>
    <phoneticPr fontId="27"/>
  </si>
  <si>
    <t>C-229</t>
    <phoneticPr fontId="27"/>
  </si>
  <si>
    <t>C-217</t>
    <phoneticPr fontId="27"/>
  </si>
  <si>
    <t>C-228</t>
    <phoneticPr fontId="27"/>
  </si>
  <si>
    <t>C-216</t>
    <phoneticPr fontId="27"/>
  </si>
  <si>
    <t>C-270</t>
    <phoneticPr fontId="27"/>
  </si>
  <si>
    <t>C-282</t>
    <phoneticPr fontId="27"/>
  </si>
  <si>
    <t>C-271</t>
    <phoneticPr fontId="27"/>
  </si>
  <si>
    <t>C-283</t>
    <phoneticPr fontId="27"/>
  </si>
  <si>
    <t>C-495</t>
    <phoneticPr fontId="27"/>
  </si>
  <si>
    <t>F-519</t>
    <phoneticPr fontId="27"/>
  </si>
  <si>
    <t>C-497</t>
    <phoneticPr fontId="27"/>
  </si>
  <si>
    <t>F-535</t>
    <phoneticPr fontId="27"/>
  </si>
  <si>
    <t>C-498</t>
    <phoneticPr fontId="27"/>
  </si>
  <si>
    <t>F-520</t>
    <phoneticPr fontId="27"/>
  </si>
  <si>
    <t>C-500</t>
    <phoneticPr fontId="27"/>
  </si>
  <si>
    <t>F-536</t>
    <phoneticPr fontId="27"/>
  </si>
  <si>
    <t>C-507</t>
    <phoneticPr fontId="27"/>
  </si>
  <si>
    <t>F-523</t>
    <phoneticPr fontId="27"/>
  </si>
  <si>
    <t>C-509</t>
    <phoneticPr fontId="27"/>
  </si>
  <si>
    <t>F-539</t>
    <phoneticPr fontId="27"/>
  </si>
  <si>
    <t>C-324</t>
    <phoneticPr fontId="27"/>
  </si>
  <si>
    <t>C-336</t>
    <phoneticPr fontId="27"/>
  </si>
  <si>
    <t>F-354</t>
    <phoneticPr fontId="27"/>
  </si>
  <si>
    <t>F-366</t>
    <phoneticPr fontId="27"/>
  </si>
  <si>
    <t>C-325</t>
    <phoneticPr fontId="27"/>
  </si>
  <si>
    <t>C-337</t>
    <phoneticPr fontId="27"/>
  </si>
  <si>
    <t>F-355</t>
    <phoneticPr fontId="27"/>
  </si>
  <si>
    <t>F-367</t>
    <phoneticPr fontId="27"/>
  </si>
  <si>
    <t>C075</t>
    <phoneticPr fontId="27"/>
  </si>
  <si>
    <t>C081</t>
    <phoneticPr fontId="27"/>
  </si>
  <si>
    <t>C078</t>
    <phoneticPr fontId="27"/>
  </si>
  <si>
    <t>C084</t>
    <phoneticPr fontId="27"/>
  </si>
  <si>
    <t>A-067</t>
    <phoneticPr fontId="27"/>
  </si>
  <si>
    <t>C-075</t>
    <phoneticPr fontId="27"/>
  </si>
  <si>
    <t>C-081</t>
    <phoneticPr fontId="27"/>
  </si>
  <si>
    <t>C-078</t>
    <phoneticPr fontId="27"/>
  </si>
  <si>
    <t>C-076</t>
    <phoneticPr fontId="27"/>
  </si>
  <si>
    <t>C-082</t>
    <phoneticPr fontId="27"/>
  </si>
  <si>
    <t>C-079</t>
    <phoneticPr fontId="27"/>
  </si>
  <si>
    <t>C-085</t>
    <phoneticPr fontId="27"/>
  </si>
  <si>
    <t>C-077</t>
    <phoneticPr fontId="27"/>
  </si>
  <si>
    <t>C-083</t>
    <phoneticPr fontId="27"/>
  </si>
  <si>
    <t>C-080</t>
    <phoneticPr fontId="27"/>
  </si>
  <si>
    <t>F065</t>
    <phoneticPr fontId="27"/>
  </si>
  <si>
    <t>F083</t>
    <phoneticPr fontId="27"/>
  </si>
  <si>
    <t>E101</t>
    <phoneticPr fontId="27"/>
  </si>
  <si>
    <t>F066</t>
    <phoneticPr fontId="27"/>
  </si>
  <si>
    <t>F084</t>
    <phoneticPr fontId="27"/>
  </si>
  <si>
    <t>F067</t>
    <phoneticPr fontId="27"/>
  </si>
  <si>
    <t>F085</t>
    <phoneticPr fontId="27"/>
  </si>
  <si>
    <t>F071</t>
    <phoneticPr fontId="27"/>
  </si>
  <si>
    <t>C076</t>
    <phoneticPr fontId="27"/>
  </si>
  <si>
    <t>F090</t>
    <phoneticPr fontId="27"/>
  </si>
  <si>
    <t>C079</t>
    <phoneticPr fontId="27"/>
  </si>
  <si>
    <t>F072</t>
    <phoneticPr fontId="27"/>
  </si>
  <si>
    <t>F091</t>
    <phoneticPr fontId="27"/>
  </si>
  <si>
    <t>C082</t>
    <phoneticPr fontId="27"/>
  </si>
  <si>
    <t>F073</t>
    <phoneticPr fontId="27"/>
  </si>
  <si>
    <t>F092</t>
    <phoneticPr fontId="27"/>
  </si>
  <si>
    <t>年間平均</t>
    <phoneticPr fontId="27"/>
  </si>
  <si>
    <t>入院</t>
    <phoneticPr fontId="27"/>
  </si>
  <si>
    <t>件  数</t>
    <phoneticPr fontId="27"/>
  </si>
  <si>
    <t>入院外</t>
    <phoneticPr fontId="27"/>
  </si>
  <si>
    <t>歯  科</t>
    <phoneticPr fontId="27"/>
  </si>
  <si>
    <t>日  数</t>
    <phoneticPr fontId="27"/>
  </si>
  <si>
    <t>費  用  額</t>
    <phoneticPr fontId="27"/>
  </si>
  <si>
    <t>C077</t>
    <phoneticPr fontId="27"/>
  </si>
  <si>
    <t>F077</t>
    <phoneticPr fontId="27"/>
  </si>
  <si>
    <t>F097</t>
    <phoneticPr fontId="27"/>
  </si>
  <si>
    <t>C080</t>
    <phoneticPr fontId="27"/>
  </si>
  <si>
    <t>F078</t>
    <phoneticPr fontId="27"/>
  </si>
  <si>
    <t>F098</t>
    <phoneticPr fontId="27"/>
  </si>
  <si>
    <t>C083</t>
    <phoneticPr fontId="27"/>
  </si>
  <si>
    <t>F099</t>
    <phoneticPr fontId="27"/>
  </si>
  <si>
    <t>小　計</t>
    <rPh sb="0" eb="1">
      <t>ショウ</t>
    </rPh>
    <rPh sb="2" eb="3">
      <t>ケイ</t>
    </rPh>
    <phoneticPr fontId="27"/>
  </si>
  <si>
    <t>C085</t>
    <phoneticPr fontId="27"/>
  </si>
  <si>
    <t>費用額</t>
    <phoneticPr fontId="27"/>
  </si>
  <si>
    <t>C086</t>
    <phoneticPr fontId="27"/>
  </si>
  <si>
    <t>件       数</t>
    <phoneticPr fontId="27"/>
  </si>
  <si>
    <t>一般分</t>
    <phoneticPr fontId="27"/>
  </si>
  <si>
    <t>退職分</t>
    <phoneticPr fontId="27"/>
  </si>
  <si>
    <t>高 額 療 養 費</t>
    <phoneticPr fontId="27"/>
  </si>
  <si>
    <t>１件当たり支給額</t>
    <phoneticPr fontId="27"/>
  </si>
  <si>
    <t>C-604</t>
  </si>
  <si>
    <t>C-605</t>
  </si>
  <si>
    <t>C-606</t>
  </si>
  <si>
    <t>C-607</t>
  </si>
  <si>
    <t>C-608</t>
  </si>
  <si>
    <t>C-609</t>
  </si>
  <si>
    <t>C-610</t>
  </si>
  <si>
    <t>C-611</t>
  </si>
  <si>
    <t>C-612</t>
  </si>
  <si>
    <t>C-613</t>
  </si>
  <si>
    <t>C-614</t>
  </si>
  <si>
    <t>C-438</t>
  </si>
  <si>
    <t>C-439</t>
  </si>
  <si>
    <t>C-440</t>
  </si>
  <si>
    <t>C-441</t>
  </si>
  <si>
    <t>C-442</t>
  </si>
  <si>
    <t>C-443</t>
  </si>
  <si>
    <t>C-444</t>
  </si>
  <si>
    <t>C-445</t>
  </si>
  <si>
    <t>C-446</t>
  </si>
  <si>
    <t>C-447</t>
  </si>
  <si>
    <t>C-448</t>
  </si>
  <si>
    <t>C-449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</si>
  <si>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</si>
  <si>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</si>
  <si>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</si>
  <si>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</si>
  <si>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</si>
  <si>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</si>
  <si>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</si>
  <si>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</si>
  <si>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</si>
  <si>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C-471</t>
  </si>
  <si>
    <t>C-472</t>
  </si>
  <si>
    <t>C-473</t>
  </si>
  <si>
    <t>C-486</t>
  </si>
  <si>
    <t>C-487</t>
  </si>
  <si>
    <t>C-488</t>
  </si>
  <si>
    <t>C-489</t>
  </si>
  <si>
    <t>C-490</t>
  </si>
  <si>
    <t>C-491</t>
  </si>
  <si>
    <t>C-492</t>
  </si>
  <si>
    <t>C-493</t>
  </si>
  <si>
    <t>C-494</t>
  </si>
  <si>
    <t>C-495</t>
  </si>
  <si>
    <t>C-496</t>
  </si>
  <si>
    <t>C-497</t>
  </si>
  <si>
    <t>F-516</t>
  </si>
  <si>
    <t>F-524</t>
  </si>
  <si>
    <t>F-532</t>
  </si>
  <si>
    <t>F-517</t>
  </si>
  <si>
    <t>F-525</t>
  </si>
  <si>
    <t>F-533</t>
  </si>
  <si>
    <t>F-518</t>
  </si>
  <si>
    <t>F-526</t>
  </si>
  <si>
    <t>F-534</t>
  </si>
  <si>
    <t>F-519</t>
  </si>
  <si>
    <t>F-527</t>
  </si>
  <si>
    <t>F-535</t>
  </si>
  <si>
    <t>A-160</t>
    <phoneticPr fontId="27"/>
  </si>
  <si>
    <t>A-161</t>
    <phoneticPr fontId="27"/>
  </si>
  <si>
    <t>A-162</t>
    <phoneticPr fontId="27"/>
  </si>
  <si>
    <t>A-159</t>
    <phoneticPr fontId="2"/>
  </si>
  <si>
    <t>A-158</t>
    <phoneticPr fontId="2"/>
  </si>
  <si>
    <t>件数</t>
    <phoneticPr fontId="27"/>
  </si>
  <si>
    <t>F-048</t>
    <phoneticPr fontId="27"/>
  </si>
  <si>
    <t>C-048</t>
    <phoneticPr fontId="27"/>
  </si>
  <si>
    <t>F-036</t>
    <phoneticPr fontId="27"/>
  </si>
  <si>
    <t>C-036</t>
    <phoneticPr fontId="27"/>
  </si>
  <si>
    <t>現物給付分(再掲)</t>
    <phoneticPr fontId="27"/>
  </si>
  <si>
    <t xml:space="preserve"> 一般</t>
    <phoneticPr fontId="27"/>
  </si>
  <si>
    <t>退職</t>
    <phoneticPr fontId="27"/>
  </si>
  <si>
    <t>合　算　分</t>
    <rPh sb="4" eb="5">
      <t>ブン</t>
    </rPh>
    <phoneticPr fontId="27"/>
  </si>
  <si>
    <t>単　　独　　分</t>
    <rPh sb="0" eb="1">
      <t>タン</t>
    </rPh>
    <rPh sb="3" eb="4">
      <t>ドク</t>
    </rPh>
    <rPh sb="6" eb="7">
      <t>ブン</t>
    </rPh>
    <phoneticPr fontId="27"/>
  </si>
  <si>
    <t>F-561</t>
    <phoneticPr fontId="27"/>
  </si>
  <si>
    <t>C-560</t>
    <phoneticPr fontId="27"/>
  </si>
  <si>
    <t>F-035</t>
    <phoneticPr fontId="27"/>
  </si>
  <si>
    <t>C-035</t>
    <phoneticPr fontId="27"/>
  </si>
  <si>
    <t>F-560</t>
    <phoneticPr fontId="27"/>
  </si>
  <si>
    <t>C-559</t>
    <phoneticPr fontId="27"/>
  </si>
  <si>
    <t>F-034</t>
    <phoneticPr fontId="27"/>
  </si>
  <si>
    <t>C-034</t>
    <phoneticPr fontId="27"/>
  </si>
  <si>
    <t>F-033</t>
    <phoneticPr fontId="27"/>
  </si>
  <si>
    <t>C-033</t>
    <phoneticPr fontId="27"/>
  </si>
  <si>
    <t>F-032</t>
    <phoneticPr fontId="27"/>
  </si>
  <si>
    <t>C-032</t>
    <phoneticPr fontId="27"/>
  </si>
  <si>
    <t>F-031</t>
    <phoneticPr fontId="27"/>
  </si>
  <si>
    <t>C-031</t>
    <phoneticPr fontId="27"/>
  </si>
  <si>
    <t>F-562</t>
    <phoneticPr fontId="27"/>
  </si>
  <si>
    <t>C-561</t>
    <phoneticPr fontId="27"/>
  </si>
  <si>
    <t>C-564</t>
    <phoneticPr fontId="27"/>
  </si>
  <si>
    <t>F-565</t>
    <phoneticPr fontId="27"/>
  </si>
  <si>
    <t>C-043</t>
    <phoneticPr fontId="27"/>
  </si>
  <si>
    <t>F-043</t>
    <phoneticPr fontId="27"/>
  </si>
  <si>
    <t>C-044</t>
    <phoneticPr fontId="27"/>
  </si>
  <si>
    <t>F-044</t>
    <phoneticPr fontId="27"/>
  </si>
  <si>
    <t>C-045</t>
    <phoneticPr fontId="27"/>
  </si>
  <si>
    <t>F-045</t>
    <phoneticPr fontId="27"/>
  </si>
  <si>
    <t>C-046</t>
    <phoneticPr fontId="27"/>
  </si>
  <si>
    <t>F-046</t>
    <phoneticPr fontId="27"/>
  </si>
  <si>
    <t>C-562</t>
    <phoneticPr fontId="27"/>
  </si>
  <si>
    <t>C-047</t>
    <phoneticPr fontId="27"/>
  </si>
  <si>
    <t>F-047</t>
    <phoneticPr fontId="27"/>
  </si>
  <si>
    <t>C-563</t>
    <phoneticPr fontId="27"/>
  </si>
  <si>
    <t>F-564</t>
    <phoneticPr fontId="27"/>
  </si>
  <si>
    <t>C-597</t>
    <phoneticPr fontId="27"/>
  </si>
  <si>
    <t>C-598</t>
    <phoneticPr fontId="27"/>
  </si>
  <si>
    <t>-</t>
  </si>
  <si>
    <t>件      数</t>
    <phoneticPr fontId="27"/>
  </si>
  <si>
    <t>C-572</t>
  </si>
  <si>
    <t>C-565</t>
  </si>
  <si>
    <t>C-566</t>
  </si>
  <si>
    <t>C-567</t>
  </si>
  <si>
    <t>C-568</t>
  </si>
  <si>
    <t>C-569</t>
  </si>
  <si>
    <t>C-570</t>
  </si>
  <si>
    <t>C-571</t>
  </si>
  <si>
    <t>C-580</t>
  </si>
  <si>
    <t>C-573</t>
  </si>
  <si>
    <t>C-574</t>
  </si>
  <si>
    <t>C-575</t>
  </si>
  <si>
    <t>C-576</t>
  </si>
  <si>
    <t>C-577</t>
  </si>
  <si>
    <t>C-578</t>
  </si>
  <si>
    <t>C-579</t>
  </si>
  <si>
    <t>C-379</t>
  </si>
  <si>
    <t>C-375</t>
  </si>
  <si>
    <t>C-376</t>
  </si>
  <si>
    <t>C-581</t>
  </si>
  <si>
    <t>C-377</t>
  </si>
  <si>
    <t>C-582</t>
  </si>
  <si>
    <t>C-378</t>
  </si>
  <si>
    <t>C-583</t>
  </si>
  <si>
    <t>C-395</t>
  </si>
  <si>
    <t>C-391</t>
  </si>
  <si>
    <t>C-392</t>
  </si>
  <si>
    <t>C-584</t>
  </si>
  <si>
    <t>C-393</t>
  </si>
  <si>
    <t>C-585</t>
  </si>
  <si>
    <t>C-394</t>
  </si>
  <si>
    <t>C-586</t>
  </si>
  <si>
    <t>C-403</t>
  </si>
  <si>
    <t>C-399</t>
  </si>
  <si>
    <t>C-400</t>
  </si>
  <si>
    <t>C-587</t>
  </si>
  <si>
    <t>C-401</t>
  </si>
  <si>
    <t>C-588</t>
  </si>
  <si>
    <t>C-402</t>
  </si>
  <si>
    <t>C-589</t>
  </si>
  <si>
    <t>C-419</t>
  </si>
  <si>
    <t>C-415</t>
  </si>
  <si>
    <t>C-416</t>
  </si>
  <si>
    <t>C-590</t>
  </si>
  <si>
    <t>C-417</t>
  </si>
  <si>
    <t>C-591</t>
  </si>
  <si>
    <t>C-418</t>
  </si>
  <si>
    <t>C-592</t>
  </si>
  <si>
    <t>C-425</t>
  </si>
  <si>
    <t>C-420</t>
  </si>
  <si>
    <t>C-421</t>
  </si>
  <si>
    <t>C-422</t>
  </si>
  <si>
    <t>C-423</t>
  </si>
  <si>
    <t>C-593</t>
  </si>
  <si>
    <t>C-424</t>
  </si>
  <si>
    <t>C-594</t>
  </si>
  <si>
    <t>C-437</t>
  </si>
  <si>
    <t>C-432</t>
  </si>
  <si>
    <t>C-433</t>
  </si>
  <si>
    <t>C-434</t>
  </si>
  <si>
    <t>C-435</t>
  </si>
  <si>
    <t>C-595</t>
  </si>
  <si>
    <t>C-436</t>
  </si>
  <si>
    <t>C-596</t>
  </si>
  <si>
    <t>A-008</t>
    <phoneticPr fontId="27"/>
  </si>
  <si>
    <t>A-016</t>
    <phoneticPr fontId="27"/>
  </si>
  <si>
    <t>件数</t>
    <rPh sb="0" eb="2">
      <t>ケンスウ</t>
    </rPh>
    <phoneticPr fontId="27"/>
  </si>
  <si>
    <t>－</t>
  </si>
  <si>
    <t>A-036</t>
    <phoneticPr fontId="27"/>
  </si>
  <si>
    <t>A-020</t>
    <phoneticPr fontId="27"/>
  </si>
  <si>
    <t>A-004</t>
    <phoneticPr fontId="27"/>
  </si>
  <si>
    <t>A-012</t>
    <phoneticPr fontId="27"/>
  </si>
  <si>
    <t>A-037</t>
    <phoneticPr fontId="27"/>
  </si>
  <si>
    <t>A-038</t>
  </si>
  <si>
    <t>A-039</t>
  </si>
  <si>
    <t>A-040</t>
  </si>
  <si>
    <t>A-171</t>
    <phoneticPr fontId="27"/>
  </si>
  <si>
    <t>A-041</t>
    <phoneticPr fontId="27"/>
  </si>
  <si>
    <t>A-043</t>
    <phoneticPr fontId="27"/>
  </si>
  <si>
    <t>A-044</t>
  </si>
  <si>
    <t>A-045</t>
  </si>
  <si>
    <t>A-046</t>
  </si>
  <si>
    <t>A-153</t>
    <phoneticPr fontId="27"/>
  </si>
  <si>
    <t>B-033</t>
    <phoneticPr fontId="27"/>
  </si>
  <si>
    <t>B-300</t>
    <phoneticPr fontId="27"/>
  </si>
  <si>
    <t>B-037</t>
    <phoneticPr fontId="27"/>
  </si>
  <si>
    <t>B-036</t>
    <phoneticPr fontId="27"/>
  </si>
  <si>
    <t>B-261</t>
    <phoneticPr fontId="27"/>
  </si>
  <si>
    <t>B-314</t>
    <phoneticPr fontId="27"/>
  </si>
  <si>
    <t>B-092</t>
    <phoneticPr fontId="27"/>
  </si>
  <si>
    <t>B-085</t>
    <phoneticPr fontId="27"/>
  </si>
  <si>
    <t>B-Y01</t>
    <phoneticPr fontId="27"/>
  </si>
  <si>
    <t>B-Y03</t>
    <phoneticPr fontId="27"/>
  </si>
  <si>
    <t>B-Y04</t>
    <phoneticPr fontId="27"/>
  </si>
  <si>
    <t>B-Y02</t>
  </si>
  <si>
    <t>A-120</t>
    <phoneticPr fontId="27"/>
  </si>
  <si>
    <t>A-151</t>
    <phoneticPr fontId="27"/>
  </si>
  <si>
    <t>A-121</t>
    <phoneticPr fontId="27"/>
  </si>
  <si>
    <t>A-122</t>
    <phoneticPr fontId="27"/>
  </si>
  <si>
    <t>A-126</t>
    <phoneticPr fontId="27"/>
  </si>
  <si>
    <t>A-152</t>
    <phoneticPr fontId="27"/>
  </si>
  <si>
    <t>A-127</t>
    <phoneticPr fontId="27"/>
  </si>
  <si>
    <t>A-128</t>
    <phoneticPr fontId="27"/>
  </si>
  <si>
    <t>A-123</t>
    <phoneticPr fontId="27"/>
  </si>
  <si>
    <t>A-009</t>
    <phoneticPr fontId="27"/>
  </si>
  <si>
    <t>A-125</t>
    <phoneticPr fontId="27"/>
  </si>
  <si>
    <t>A-010</t>
    <phoneticPr fontId="27"/>
  </si>
  <si>
    <t>A-011</t>
    <phoneticPr fontId="27"/>
  </si>
  <si>
    <t>退職者医療分</t>
    <rPh sb="0" eb="3">
      <t>タイショクシャ</t>
    </rPh>
    <rPh sb="3" eb="5">
      <t>イリョウ</t>
    </rPh>
    <rPh sb="5" eb="6">
      <t>ブン</t>
    </rPh>
    <phoneticPr fontId="27"/>
  </si>
  <si>
    <t>F-570</t>
    <phoneticPr fontId="27"/>
  </si>
  <si>
    <t>F-571</t>
    <phoneticPr fontId="27"/>
  </si>
  <si>
    <t>一般被保険者分</t>
    <rPh sb="0" eb="2">
      <t>イッパン</t>
    </rPh>
    <rPh sb="2" eb="6">
      <t>ヒホケンジャ</t>
    </rPh>
    <rPh sb="6" eb="7">
      <t>ブン</t>
    </rPh>
    <phoneticPr fontId="27"/>
  </si>
  <si>
    <t>30年度の制度改正により、一部項目は経年比較ができない。</t>
  </si>
  <si>
    <t>C-603</t>
    <phoneticPr fontId="27"/>
  </si>
  <si>
    <t>B-246</t>
    <phoneticPr fontId="27"/>
  </si>
  <si>
    <t>A-032</t>
    <phoneticPr fontId="27"/>
  </si>
  <si>
    <t>A203</t>
    <phoneticPr fontId="27"/>
  </si>
  <si>
    <t>A-047</t>
    <phoneticPr fontId="27"/>
  </si>
  <si>
    <t>F079</t>
    <phoneticPr fontId="27"/>
  </si>
  <si>
    <t>収入_収入額累計_収入合計</t>
  </si>
  <si>
    <t>収入_収入額累計_保険料（税）_計</t>
  </si>
  <si>
    <t>収入_収入額累計_国庫支出金_計</t>
  </si>
  <si>
    <t>収入_収入額累計_療養給付費交付金</t>
  </si>
  <si>
    <t>収入_収入額累計_都道府県支出金_高額医療費共同事業負担金</t>
  </si>
  <si>
    <t>収入_収入額累計_都道府県支出金_第1号都道府県調整交付金</t>
  </si>
  <si>
    <t>収入_収入額累計_都道府県支出金_第2号都道府県調整交付金</t>
  </si>
  <si>
    <t>収入_収入額累計_都道府県支出金_その他</t>
  </si>
  <si>
    <t>収入_収入額累計_都道府県支出金_保険給付費等交付金（特別交付金）_特定健康診査等負担金</t>
  </si>
  <si>
    <t>収入_収入額累計_都道府県支出金_広域化等支援基金支出金</t>
    <phoneticPr fontId="70"/>
  </si>
  <si>
    <t>収入_収入額累計_都道府県支出金_保険給付費等交付金（普通交付金）</t>
  </si>
  <si>
    <t>収入_収入額累計_都道府県支出金_保険給付費等交付金（特別交付金）計</t>
  </si>
  <si>
    <t>収入_収入額累計_都道府県支出金_財政安定化基金交付金</t>
  </si>
  <si>
    <t>収入_収入額累計_一般会計繰入金_その他</t>
  </si>
  <si>
    <t>収入_収入額累計_一般会計繰入金_保険基盤安定（保険税軽減分）</t>
  </si>
  <si>
    <t>収入_収入額累計_一般会計繰入金_保険基盤安定（保険者支援分）</t>
  </si>
  <si>
    <t>収支状況_収入額累計_一般会計繰入金_基準超過費用</t>
  </si>
  <si>
    <t>収支状況_収入額累計_一般会計繰入金_職員給与費等</t>
  </si>
  <si>
    <t>収支状況_収入額累計_一般会計繰入金_出産育児一時金等</t>
  </si>
  <si>
    <t>収支状況_収入額累計_一般会計繰入金_財政安定化支援</t>
  </si>
  <si>
    <t>収入_収入額累計_高額医療費共同事業交付金</t>
  </si>
  <si>
    <t>収入_収入額累計_共同事業交付金_保険財政共同安定化事業交付金</t>
  </si>
  <si>
    <t>収入_収入額累計_前記高齢者交付金</t>
  </si>
  <si>
    <t>支出_支出額累計_支出合計</t>
  </si>
  <si>
    <t>支出_支出額累計_保険給付費_一般被保険者分_小計</t>
  </si>
  <si>
    <t>支出_支出額累計_保険給付費_一般被保険者分_移送費</t>
    <phoneticPr fontId="70"/>
  </si>
  <si>
    <t>支出_支出額累計_保険給付費_退職被保険者等分_小計</t>
  </si>
  <si>
    <t>支出_支出額累計_保険給付費_退職被保険者等分_移送費</t>
  </si>
  <si>
    <t>支出_支出額累計_保険給付費_一般被保険者分_高額療養費</t>
  </si>
  <si>
    <t>支出_支出額累計_保険給付費_退職被保険者等分_退職被保険者等分計</t>
  </si>
  <si>
    <t>支出_予算現額_保険給付費_一般被保険者分_療養給付費</t>
  </si>
  <si>
    <t>支出_予算現額_保険給付費_一般被保険者分_療養費</t>
  </si>
  <si>
    <t>支出_支出額累計_保険給付費_一般被保険者分_出産育児諸費</t>
  </si>
  <si>
    <t>支出_支出額累計_保険給付費_一般被保険者分_葬祭諸費</t>
  </si>
  <si>
    <t>支出_支出額累計_保険給付費_一般被保険者分_育児諸費</t>
  </si>
  <si>
    <t>支出_支出額累計_保険給付費_一般被保険者分_その他</t>
  </si>
  <si>
    <t>支出_支出額累計_後期高齢者支援金等_計</t>
  </si>
  <si>
    <t>支出_支出額累計_前期高齢者支援金等_計</t>
  </si>
  <si>
    <t>支出_支出額累計_国民健康保険事業費納付金_医療給付費分_医療給付費分計</t>
  </si>
  <si>
    <t>支出_支出額累計_国民健康保険事業費納付金_後期高齢者支援金等分_後期高齢者支援金等分計</t>
  </si>
  <si>
    <t>支出_支出額累計_国民健康保険事業費納付金_介護納付金</t>
  </si>
  <si>
    <t>支出_支出額累計_財政安定化基金拠出金</t>
  </si>
  <si>
    <t>支出_支出額累計_介護納付金</t>
  </si>
  <si>
    <t>支出_支出額累計_総務費</t>
  </si>
  <si>
    <t>支出_支出額累計_保健事業費_保健事業費</t>
  </si>
  <si>
    <t>支出_支出額累計_保健事業費_特定健康診査等事業費</t>
  </si>
  <si>
    <t>支出_支出額累計_保健事業費_健康管理センター事業費</t>
  </si>
  <si>
    <t>支出_支出額累計_保険給付費等交付金償還金</t>
  </si>
  <si>
    <t>支出_支出額累計_高額医療費共同事業拠出金</t>
  </si>
  <si>
    <t>支出_支出額累計_共同事業拠出金_保険財政共同安定化事業拠出金</t>
  </si>
  <si>
    <t>支出_支出額累計_共同事業拠出金_その他</t>
  </si>
  <si>
    <r>
      <t>B</t>
    </r>
    <r>
      <rPr>
        <sz val="9"/>
        <color rgb="FF0070C0"/>
        <rFont val="游ゴシック"/>
        <family val="3"/>
        <charset val="128"/>
      </rPr>
      <t>-</t>
    </r>
    <r>
      <rPr>
        <sz val="9"/>
        <color rgb="FF0070C0"/>
        <rFont val="明朝"/>
        <family val="3"/>
        <charset val="128"/>
      </rPr>
      <t>156</t>
    </r>
    <phoneticPr fontId="27"/>
  </si>
  <si>
    <r>
      <t>B</t>
    </r>
    <r>
      <rPr>
        <sz val="9"/>
        <color rgb="FF0070C0"/>
        <rFont val="游ゴシック"/>
        <family val="3"/>
        <charset val="128"/>
      </rPr>
      <t>-2</t>
    </r>
    <r>
      <rPr>
        <sz val="9"/>
        <color rgb="FF0070C0"/>
        <rFont val="明朝"/>
        <family val="3"/>
        <charset val="128"/>
      </rPr>
      <t>47</t>
    </r>
    <phoneticPr fontId="27"/>
  </si>
  <si>
    <r>
      <t>B</t>
    </r>
    <r>
      <rPr>
        <sz val="9"/>
        <color rgb="FF0070C0"/>
        <rFont val="游ゴシック"/>
        <family val="3"/>
        <charset val="128"/>
      </rPr>
      <t>-0</t>
    </r>
    <r>
      <rPr>
        <sz val="9"/>
        <color rgb="FF0070C0"/>
        <rFont val="明朝"/>
        <family val="3"/>
        <charset val="128"/>
      </rPr>
      <t>79</t>
    </r>
    <phoneticPr fontId="27"/>
  </si>
  <si>
    <t>B-082</t>
    <phoneticPr fontId="27"/>
  </si>
  <si>
    <t>B-075</t>
    <phoneticPr fontId="27"/>
  </si>
  <si>
    <t>調定額累計_保険料（税）_現年分</t>
  </si>
  <si>
    <t>居所不明者分調定額_保険料（税）_現年分</t>
  </si>
  <si>
    <t>調定額累計_現年分</t>
  </si>
  <si>
    <t>居所不明者分調定額_現年分</t>
  </si>
  <si>
    <t>一般状況_世帯数_年間平均</t>
  </si>
  <si>
    <t>一般状況_被保険者数総数_年間平均</t>
  </si>
  <si>
    <t>収納額累計_保険料（税）_現年分</t>
  </si>
  <si>
    <t>収納額累計_現年分</t>
  </si>
  <si>
    <t>（１）全体_件数_診療費_小計</t>
  </si>
  <si>
    <t>（１）全体_退職被保険者分_件数_診療費_小計</t>
  </si>
  <si>
    <t>（１）全体_被扶養者分_件数_診療費_小計</t>
  </si>
  <si>
    <t>（１）全体_費用額_診療費_小計</t>
  </si>
  <si>
    <t>（１）全体_退職被保険者分_費用額_診療費_小計</t>
  </si>
  <si>
    <t>（１）全体_被扶養者分_費用額_診療費_小計</t>
  </si>
  <si>
    <t>（１）全体_件数_調剤</t>
  </si>
  <si>
    <t>（１）全体_退職被保険者分_件数_調剤</t>
  </si>
  <si>
    <t>（１）全体_被扶養者分_件数_調剤</t>
  </si>
  <si>
    <t>（１）全体_費用額_調剤</t>
  </si>
  <si>
    <t>（１）全体_退職被保険者分_費用額_調剤</t>
  </si>
  <si>
    <t>（１）全体_被扶養者分_費用額_調剤</t>
  </si>
  <si>
    <t>（１）全体_件数_合計</t>
    <phoneticPr fontId="70"/>
  </si>
  <si>
    <t>（１）全体_退職被保険者分_件数_合計</t>
  </si>
  <si>
    <t>（１）全体_被扶養者分_件数_合計</t>
  </si>
  <si>
    <t>（１）全体_費用額_合計</t>
  </si>
  <si>
    <t>（１）全体_退職被保険者分_費用額_合計</t>
  </si>
  <si>
    <t>（１）全体_被扶養者分_費用額_合計</t>
  </si>
  <si>
    <t>（１）全体_件数_療養費等_療養費_小計</t>
  </si>
  <si>
    <t>（１）全体_件数_療養費等_移送費</t>
  </si>
  <si>
    <t>（１）全体_費用額_療養費等_療養費_小計</t>
  </si>
  <si>
    <t>（１）全体_費用額_療養費等_移送費</t>
  </si>
  <si>
    <t>（２） 前期高齢者分再掲_件数_療養費等_療養費</t>
  </si>
  <si>
    <t>（２） 前期高齢者分再掲_件数_療養費等_移送費</t>
  </si>
  <si>
    <t>（２） 前期高齢者分再掲_費用額_療養費等_療養費</t>
  </si>
  <si>
    <t>（２） 前期高齢者分再掲_費用額_療養費等_移送費</t>
  </si>
  <si>
    <t>（３） ７０歳以上一般分再掲_件数_療養費等_療養費</t>
  </si>
  <si>
    <t>（３） ７０歳以上一般分再掲_件数_療養費等_移送費</t>
  </si>
  <si>
    <t>（３） ７０歳以上一般分再掲_費用額_療養費等_療養費</t>
  </si>
  <si>
    <t>（３） ７０歳以上一般分再掲_費用額_療養費等_移送費</t>
  </si>
  <si>
    <t>（４） ７０歳以上現役並み所得者分再掲_件数_療養費等_療養費</t>
  </si>
  <si>
    <t>（４） ７０歳以上現役並み所得者分再掲_件数_療養費等_移送費</t>
  </si>
  <si>
    <t>（４） ７０歳以上現役並み所得者分再掲_費用額_療養費等_療養費</t>
  </si>
  <si>
    <t>（４） ７０歳以上現役並み所得者分再掲_費用額_療養費等_移送費</t>
  </si>
  <si>
    <t>（５）未就学児分再掲_件数_診療費_小計</t>
    <phoneticPr fontId="70"/>
  </si>
  <si>
    <t>（２）未就学児分再掲_被扶養者分_件数_診療費_小計</t>
  </si>
  <si>
    <t>（５）未就学児分再掲_費用額_診療費_小計</t>
  </si>
  <si>
    <t>（２）未就学児分再掲_被扶養者分_費用額_診療費_小計</t>
  </si>
  <si>
    <t>（５）未就学児分再掲_件数_調剤</t>
  </si>
  <si>
    <t>４．療養の給付内訳(3歳未満分再掲)_退職被保険者分＋被扶養者分_調剤_件数</t>
    <phoneticPr fontId="27"/>
  </si>
  <si>
    <t>（５）未就学児分再掲_費用額_調剤</t>
  </si>
  <si>
    <t>（２）未就学児分再掲_被扶養者分_費用額_調剤</t>
  </si>
  <si>
    <t>（５）未就学児分再掲_件数_合計</t>
  </si>
  <si>
    <t>４．療養の給付内訳(3歳未満分再掲)_退職被保険者分＋被扶養者分_合計_件数</t>
  </si>
  <si>
    <t>（５）未就学児分再掲_費用額_合計</t>
  </si>
  <si>
    <t>（２）未就学児分再掲_被扶養者分_費用額_合計</t>
  </si>
  <si>
    <t>（５）未就学児分再掲_件数_療養費等_療養費</t>
  </si>
  <si>
    <t>（５）未就学児分再掲_件数_療養費等_移送費</t>
  </si>
  <si>
    <t>（２）未就学児分再掲_件数_療養費等_療養費</t>
  </si>
  <si>
    <t>（２）未就学児分再掲_件数_療養費等_移送費</t>
  </si>
  <si>
    <t>（５）未就学児分再掲_費用額_療養費等_療養費</t>
  </si>
  <si>
    <t>（５）未就学児分再掲_費用額_療養費等_移送費</t>
  </si>
  <si>
    <t>（２）未就学児分再掲_費用額_療養費等_療養費</t>
  </si>
  <si>
    <t>（２）未就学児分再掲_費用額_療養費等_移送費</t>
  </si>
  <si>
    <r>
      <rPr>
        <sz val="11"/>
        <rFont val="明朝"/>
        <family val="3"/>
        <charset val="128"/>
      </rPr>
      <t>F</t>
    </r>
    <r>
      <rPr>
        <sz val="11"/>
        <rFont val="ＭＳ ゴシック"/>
        <family val="3"/>
        <charset val="128"/>
      </rPr>
      <t>-</t>
    </r>
    <r>
      <rPr>
        <sz val="11"/>
        <rFont val="明朝"/>
        <family val="3"/>
        <charset val="128"/>
      </rPr>
      <t>563</t>
    </r>
    <phoneticPr fontId="27"/>
  </si>
  <si>
    <t>2021</t>
  </si>
  <si>
    <t xml:space="preserve"> 立川市．三鷹市．国分寺市．御蔵島村</t>
    <rPh sb="1" eb="3">
      <t>タチカワ</t>
    </rPh>
    <rPh sb="5" eb="7">
      <t>ミタカ</t>
    </rPh>
    <rPh sb="14" eb="17">
      <t>ミクラジマ</t>
    </rPh>
    <phoneticPr fontId="27"/>
  </si>
  <si>
    <t xml:space="preserve"> 八王子市．武蔵野市．青梅市．府中市．昭島市．調布市．町田市．福生市</t>
    <rPh sb="6" eb="9">
      <t>ムサシノ</t>
    </rPh>
    <phoneticPr fontId="27"/>
  </si>
  <si>
    <t xml:space="preserve"> 羽村市．瑞穂町．あきる野市．日の出町．檜原村．奥多摩町．日野市．多摩市</t>
    <phoneticPr fontId="27"/>
  </si>
  <si>
    <t xml:space="preserve"> 稲城市．国立市．狛江市．小金井市．武蔵村山市．東大和市．東村山市．清瀬市</t>
    <rPh sb="5" eb="8">
      <t>クニタチシ</t>
    </rPh>
    <phoneticPr fontId="27"/>
  </si>
  <si>
    <t xml:space="preserve"> 東久留米市．西東京市．小平市．大島町．利島村．新島村．神津島村．三宅村</t>
    <rPh sb="7" eb="11">
      <t>ニシトウキョウシ</t>
    </rPh>
    <rPh sb="12" eb="15">
      <t>コダイラシ</t>
    </rPh>
    <rPh sb="16" eb="18">
      <t>オオシマ</t>
    </rPh>
    <phoneticPr fontId="27"/>
  </si>
  <si>
    <t xml:space="preserve"> 八丈町．小笠原村</t>
    <rPh sb="1" eb="4">
      <t>ハチジョウマチ</t>
    </rPh>
    <rPh sb="5" eb="8">
      <t>オガサハラ</t>
    </rPh>
    <rPh sb="8" eb="9">
      <t>ムラ</t>
    </rPh>
    <phoneticPr fontId="27"/>
  </si>
  <si>
    <t xml:space="preserve"> 青ヶ島村</t>
    <rPh sb="1" eb="4">
      <t>アオガシマ</t>
    </rPh>
    <rPh sb="4" eb="5">
      <t>ムラ</t>
    </rPh>
    <phoneticPr fontId="27"/>
  </si>
  <si>
    <t xml:space="preserve">  立川市．三鷹市．国分寺市．御蔵島村．青ヶ島村</t>
    <rPh sb="20" eb="24">
      <t>アオガシマムラ</t>
    </rPh>
    <phoneticPr fontId="27"/>
  </si>
  <si>
    <t>62区市町村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</si>
</sst>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.0"/>
    <numFmt numFmtId="177" formatCode="#,##0_);[Red]\(#,##0\)"/>
    <numFmt numFmtId="178" formatCode="_ * #,##0;_ * \-#,##0;_ * &quot;－&quot;;_ @_ "/>
    <numFmt numFmtId="179" formatCode="0.000"/>
    <numFmt numFmtId="180" formatCode="#,##0.0;[Red]\-#,##0.0"/>
    <numFmt numFmtId="181" formatCode="0.0_ ;[Red]\-0.0\ "/>
    <numFmt numFmtId="182" formatCode="#,##0.000"/>
    <numFmt numFmtId="183" formatCode="#,##0.000_ "/>
    <numFmt numFmtId="184" formatCode="0.00_);[Red]\(0.00\)"/>
    <numFmt numFmtId="185" formatCode="#,##0_ "/>
    <numFmt numFmtId="186" formatCode="#,##0.000;[Red]\-#,##0.000"/>
    <numFmt numFmtId="187" formatCode="* 0.00&quot;%&quot;;\-0.00&quot;%&quot;;&quot;&quot;"/>
    <numFmt numFmtId="188" formatCode="0.00;[Red]0.00"/>
    <numFmt numFmtId="189" formatCode="#,##0.0_ ;[Red]\-#,##0.0\ "/>
    <numFmt numFmtId="190" formatCode="0_);[Red]\(0\)"/>
    <numFmt numFmtId="191" formatCode="0.000_);[Red]\(0.000\)"/>
    <numFmt numFmtId="192" formatCode="@&quot;年度&quot;"/>
    <numFmt numFmtId="193" formatCode="#,##0.0000;[Red]\-#,##0.0000"/>
    <numFmt numFmtId="194" formatCode="#,##0.0"/>
    <numFmt numFmtId="195" formatCode="#,##0.00_);[Red]\(#,##0.00\)"/>
  </numFmts>
  <fonts count="76">
    <font>
      <sz val="11"/>
      <name val="明朝"/>
      <family val="3"/>
      <charset val="128"/>
    </font>
    <font>
      <b/>
      <sz val="24"/>
      <color indexed="8"/>
      <name val="明朝"/>
      <family val="3"/>
      <charset val="128"/>
    </font>
    <font>
      <sz val="18"/>
      <color indexed="8"/>
      <name val="明朝"/>
      <family val="3"/>
      <charset val="128"/>
    </font>
    <font>
      <sz val="12"/>
      <color indexed="8"/>
      <name val="明朝"/>
      <family val="3"/>
      <charset val="128"/>
    </font>
    <font>
      <sz val="10"/>
      <color indexed="63"/>
      <name val="明朝"/>
      <family val="3"/>
      <charset val="128"/>
    </font>
    <font>
      <i/>
      <sz val="10"/>
      <color indexed="23"/>
      <name val="明朝"/>
      <family val="3"/>
      <charset val="128"/>
    </font>
    <font>
      <sz val="10"/>
      <color indexed="17"/>
      <name val="明朝"/>
      <family val="3"/>
      <charset val="128"/>
    </font>
    <font>
      <sz val="10"/>
      <color indexed="19"/>
      <name val="明朝"/>
      <family val="3"/>
      <charset val="128"/>
    </font>
    <font>
      <sz val="10"/>
      <color indexed="10"/>
      <name val="明朝"/>
      <family val="3"/>
      <charset val="128"/>
    </font>
    <font>
      <b/>
      <sz val="10"/>
      <color indexed="9"/>
      <name val="明朝"/>
      <family val="3"/>
      <charset val="128"/>
    </font>
    <font>
      <b/>
      <sz val="10"/>
      <color indexed="8"/>
      <name val="明朝"/>
      <family val="3"/>
      <charset val="128"/>
    </font>
    <font>
      <sz val="10"/>
      <color indexed="9"/>
      <name val="明朝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DejaVu Sans"/>
      <family val="2"/>
    </font>
    <font>
      <sz val="11"/>
      <name val="ＭＳ 明朝"/>
      <family val="1"/>
      <charset val="128"/>
    </font>
    <font>
      <sz val="10"/>
      <name val="DejaVu Sans"/>
      <family val="2"/>
    </font>
    <font>
      <sz val="8"/>
      <name val="ＭＳ 明朝"/>
      <family val="1"/>
      <charset val="128"/>
    </font>
    <font>
      <sz val="8"/>
      <name val="DejaVu Sans"/>
      <family val="2"/>
    </font>
    <font>
      <sz val="9"/>
      <name val="DejaVu Sans"/>
      <family val="2"/>
    </font>
    <font>
      <sz val="9"/>
      <color indexed="6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name val="明朝"/>
      <family val="3"/>
      <charset val="128"/>
    </font>
    <font>
      <sz val="9"/>
      <color indexed="8"/>
      <name val="ＭＳ 明朝"/>
      <family val="1"/>
      <charset val="128"/>
    </font>
    <font>
      <sz val="10"/>
      <color indexed="48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DejaVu Sans"/>
      <family val="2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明朝"/>
      <family val="3"/>
      <charset val="128"/>
    </font>
    <font>
      <sz val="10"/>
      <color indexed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indexed="5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color indexed="10"/>
      <name val="ＭＳ ゴシック"/>
      <family val="3"/>
      <charset val="128"/>
    </font>
    <font>
      <sz val="9"/>
      <color theme="0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8"/>
      <name val="ＭＳ ゴシック"/>
      <family val="3"/>
      <charset val="128"/>
    </font>
    <font>
      <sz val="9"/>
      <color indexed="60"/>
      <name val="ＭＳ ゴシック"/>
      <family val="3"/>
      <charset val="128"/>
    </font>
    <font>
      <sz val="10"/>
      <color indexed="48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color rgb="FFC0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sz val="9"/>
      <color rgb="FFC00000"/>
      <name val="ＭＳ ゴシック"/>
      <family val="3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明朝"/>
      <family val="3"/>
      <charset val="128"/>
    </font>
    <font>
      <sz val="10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rgb="FF0070C0"/>
      <name val="游ゴシック"/>
      <family val="3"/>
      <charset val="128"/>
    </font>
    <font>
      <i/>
      <sz val="10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ゴシック"/>
      <family val="3"/>
      <charset val="128"/>
    </font>
    <font>
      <i/>
      <sz val="10"/>
      <name val="ＭＳ 明朝"/>
      <family val="1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tted">
        <color indexed="8"/>
      </right>
      <top/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/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dotted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8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6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177" fontId="26" fillId="0" borderId="0" applyBorder="0" applyProtection="0"/>
    <xf numFmtId="0" fontId="26" fillId="0" borderId="0"/>
    <xf numFmtId="0" fontId="28" fillId="0" borderId="0">
      <alignment vertical="center"/>
    </xf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8" fillId="0" borderId="0" applyNumberFormat="0" applyFill="0" applyBorder="0" applyProtection="0"/>
    <xf numFmtId="38" fontId="26" fillId="0" borderId="0" applyFont="0" applyFill="0" applyBorder="0" applyAlignment="0" applyProtection="0"/>
    <xf numFmtId="0" fontId="26" fillId="0" borderId="0"/>
    <xf numFmtId="0" fontId="26" fillId="0" borderId="0"/>
    <xf numFmtId="38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/>
  </cellStyleXfs>
  <cellXfs count="2067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 applyBorder="1"/>
    <xf numFmtId="0" fontId="12" fillId="0" borderId="0" xfId="0" applyFont="1" applyBorder="1" applyAlignment="1"/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25" fillId="0" borderId="0" xfId="0" applyFont="1" applyBorder="1" applyAlignment="1">
      <alignment vertical="center"/>
    </xf>
    <xf numFmtId="0" fontId="12" fillId="0" borderId="0" xfId="0" applyFont="1" applyAlignment="1">
      <alignment shrinkToFit="1"/>
    </xf>
    <xf numFmtId="0" fontId="16" fillId="0" borderId="12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179" fontId="12" fillId="0" borderId="0" xfId="0" applyNumberFormat="1" applyFont="1"/>
    <xf numFmtId="0" fontId="12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8" applyFont="1" applyAlignment="1">
      <alignment horizontal="left"/>
    </xf>
    <xf numFmtId="0" fontId="12" fillId="0" borderId="0" xfId="8" applyFont="1" applyAlignment="1">
      <alignment horizontal="center" vertical="center"/>
    </xf>
    <xf numFmtId="0" fontId="12" fillId="0" borderId="0" xfId="8" applyFont="1"/>
    <xf numFmtId="179" fontId="12" fillId="0" borderId="0" xfId="8" applyNumberFormat="1" applyFont="1"/>
    <xf numFmtId="0" fontId="32" fillId="0" borderId="0" xfId="8" applyFont="1" applyAlignment="1">
      <alignment vertical="center"/>
    </xf>
    <xf numFmtId="0" fontId="12" fillId="0" borderId="0" xfId="8" applyFont="1" applyAlignment="1">
      <alignment horizontal="left" vertical="center"/>
    </xf>
    <xf numFmtId="0" fontId="26" fillId="0" borderId="0" xfId="8" applyFont="1"/>
    <xf numFmtId="0" fontId="12" fillId="0" borderId="0" xfId="8" applyFont="1" applyAlignment="1">
      <alignment vertical="center"/>
    </xf>
    <xf numFmtId="0" fontId="30" fillId="0" borderId="0" xfId="8" applyFont="1" applyAlignment="1">
      <alignment horizontal="left"/>
    </xf>
    <xf numFmtId="0" fontId="31" fillId="0" borderId="0" xfId="8" applyFont="1" applyAlignment="1">
      <alignment vertical="center"/>
    </xf>
    <xf numFmtId="0" fontId="29" fillId="0" borderId="0" xfId="8" applyFont="1" applyAlignment="1">
      <alignment horizontal="left"/>
    </xf>
    <xf numFmtId="0" fontId="31" fillId="0" borderId="0" xfId="8" applyFont="1" applyAlignment="1">
      <alignment horizontal="left" vertical="center"/>
    </xf>
    <xf numFmtId="0" fontId="31" fillId="0" borderId="0" xfId="8" applyFont="1" applyBorder="1" applyAlignment="1">
      <alignment vertical="center"/>
    </xf>
    <xf numFmtId="0" fontId="31" fillId="0" borderId="0" xfId="8" quotePrefix="1" applyFont="1" applyBorder="1" applyAlignment="1">
      <alignment horizontal="left" vertical="center"/>
    </xf>
    <xf numFmtId="0" fontId="31" fillId="0" borderId="0" xfId="8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0" xfId="0" applyFont="1" applyBorder="1"/>
    <xf numFmtId="0" fontId="12" fillId="0" borderId="34" xfId="0" applyFont="1" applyBorder="1"/>
    <xf numFmtId="0" fontId="30" fillId="0" borderId="0" xfId="0" applyFont="1" applyBorder="1"/>
    <xf numFmtId="0" fontId="14" fillId="0" borderId="0" xfId="8" applyFont="1" applyAlignment="1">
      <alignment vertical="center"/>
    </xf>
    <xf numFmtId="0" fontId="31" fillId="0" borderId="0" xfId="0" applyFont="1" applyAlignment="1">
      <alignment horizontal="left"/>
    </xf>
    <xf numFmtId="0" fontId="15" fillId="0" borderId="2" xfId="0" applyFont="1" applyBorder="1"/>
    <xf numFmtId="0" fontId="19" fillId="0" borderId="11" xfId="0" applyFont="1" applyBorder="1" applyAlignment="1">
      <alignment horizontal="right" vertical="top"/>
    </xf>
    <xf numFmtId="0" fontId="19" fillId="0" borderId="4" xfId="0" applyFont="1" applyBorder="1" applyAlignment="1">
      <alignment horizontal="right" vertical="top"/>
    </xf>
    <xf numFmtId="0" fontId="21" fillId="0" borderId="0" xfId="0" applyFont="1" applyBorder="1" applyAlignment="1">
      <alignment horizontal="right" vertical="top"/>
    </xf>
    <xf numFmtId="0" fontId="21" fillId="0" borderId="3" xfId="0" applyFont="1" applyBorder="1" applyAlignment="1">
      <alignment horizontal="right" vertical="top"/>
    </xf>
    <xf numFmtId="3" fontId="22" fillId="0" borderId="0" xfId="0" applyNumberFormat="1" applyFont="1" applyBorder="1"/>
    <xf numFmtId="177" fontId="22" fillId="0" borderId="0" xfId="7" applyFont="1" applyBorder="1" applyAlignment="1" applyProtection="1">
      <alignment horizontal="right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182" fontId="21" fillId="0" borderId="11" xfId="0" applyNumberFormat="1" applyFont="1" applyBorder="1"/>
    <xf numFmtId="0" fontId="15" fillId="0" borderId="0" xfId="0" applyFont="1" applyAlignment="1">
      <alignment shrinkToFit="1"/>
    </xf>
    <xf numFmtId="0" fontId="0" fillId="0" borderId="0" xfId="0" applyAlignment="1">
      <alignment horizontal="center"/>
    </xf>
    <xf numFmtId="3" fontId="12" fillId="0" borderId="0" xfId="0" applyNumberFormat="1" applyFont="1" applyBorder="1"/>
    <xf numFmtId="0" fontId="15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38" xfId="0" applyFont="1" applyBorder="1" applyAlignment="1">
      <alignment horizontal="right" vertical="top"/>
    </xf>
    <xf numFmtId="177" fontId="12" fillId="0" borderId="0" xfId="0" applyNumberFormat="1" applyFont="1"/>
    <xf numFmtId="0" fontId="16" fillId="0" borderId="8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right" vertical="top"/>
    </xf>
    <xf numFmtId="0" fontId="19" fillId="0" borderId="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right" vertical="top"/>
    </xf>
    <xf numFmtId="0" fontId="30" fillId="0" borderId="0" xfId="0" applyFont="1" applyAlignment="1">
      <alignment horizontal="left" vertical="center"/>
    </xf>
    <xf numFmtId="0" fontId="12" fillId="0" borderId="26" xfId="0" applyFont="1" applyBorder="1"/>
    <xf numFmtId="38" fontId="21" fillId="0" borderId="0" xfId="20" applyFont="1" applyBorder="1" applyAlignment="1">
      <alignment horizontal="right" vertical="top"/>
    </xf>
    <xf numFmtId="0" fontId="12" fillId="0" borderId="55" xfId="0" applyFont="1" applyBorder="1" applyAlignment="1"/>
    <xf numFmtId="38" fontId="21" fillId="0" borderId="35" xfId="20" applyFont="1" applyBorder="1" applyAlignment="1">
      <alignment horizontal="right" vertical="top"/>
    </xf>
    <xf numFmtId="0" fontId="12" fillId="0" borderId="55" xfId="0" applyFont="1" applyBorder="1" applyAlignment="1">
      <alignment horizontal="centerContinuous"/>
    </xf>
    <xf numFmtId="38" fontId="21" fillId="0" borderId="32" xfId="20" applyFont="1" applyBorder="1" applyAlignment="1">
      <alignment horizontal="right" vertical="top"/>
    </xf>
    <xf numFmtId="38" fontId="21" fillId="0" borderId="34" xfId="20" applyFont="1" applyBorder="1" applyAlignment="1">
      <alignment horizontal="right" vertical="top"/>
    </xf>
    <xf numFmtId="38" fontId="21" fillId="0" borderId="56" xfId="20" applyFont="1" applyBorder="1" applyAlignment="1">
      <alignment horizontal="right" vertical="top"/>
    </xf>
    <xf numFmtId="38" fontId="21" fillId="0" borderId="35" xfId="20" applyFont="1" applyBorder="1" applyAlignment="1">
      <alignment horizontal="left" vertical="top"/>
    </xf>
    <xf numFmtId="38" fontId="21" fillId="10" borderId="0" xfId="20" applyFont="1" applyFill="1" applyBorder="1" applyAlignment="1">
      <alignment horizontal="right" vertical="top"/>
    </xf>
    <xf numFmtId="0" fontId="12" fillId="10" borderId="55" xfId="0" applyFont="1" applyFill="1" applyBorder="1" applyAlignment="1"/>
    <xf numFmtId="38" fontId="21" fillId="10" borderId="35" xfId="20" applyFont="1" applyFill="1" applyBorder="1" applyAlignment="1">
      <alignment horizontal="right" vertical="top"/>
    </xf>
    <xf numFmtId="0" fontId="12" fillId="10" borderId="55" xfId="0" applyFont="1" applyFill="1" applyBorder="1" applyAlignment="1">
      <alignment horizontal="centerContinuous"/>
    </xf>
    <xf numFmtId="38" fontId="21" fillId="10" borderId="34" xfId="20" applyFont="1" applyFill="1" applyBorder="1" applyAlignment="1">
      <alignment horizontal="right" vertical="top"/>
    </xf>
    <xf numFmtId="0" fontId="12" fillId="10" borderId="0" xfId="0" applyFont="1" applyFill="1" applyBorder="1" applyAlignment="1"/>
    <xf numFmtId="38" fontId="21" fillId="10" borderId="35" xfId="20" applyFont="1" applyFill="1" applyBorder="1" applyAlignment="1">
      <alignment horizontal="left" vertical="top"/>
    </xf>
    <xf numFmtId="0" fontId="12" fillId="10" borderId="0" xfId="0" applyFont="1" applyFill="1"/>
    <xf numFmtId="0" fontId="12" fillId="0" borderId="0" xfId="0" applyFont="1" applyAlignment="1">
      <alignment horizontal="centerContinuous"/>
    </xf>
    <xf numFmtId="38" fontId="20" fillId="0" borderId="34" xfId="20" applyFont="1" applyBorder="1" applyAlignment="1">
      <alignment vertical="center"/>
    </xf>
    <xf numFmtId="38" fontId="21" fillId="0" borderId="55" xfId="20" applyFont="1" applyBorder="1" applyAlignment="1">
      <alignment vertical="center"/>
    </xf>
    <xf numFmtId="38" fontId="21" fillId="0" borderId="55" xfId="20" applyFont="1" applyBorder="1" applyAlignment="1">
      <alignment horizontal="right" vertical="center"/>
    </xf>
    <xf numFmtId="38" fontId="22" fillId="0" borderId="34" xfId="20" applyFont="1" applyBorder="1" applyAlignment="1">
      <alignment vertical="center"/>
    </xf>
    <xf numFmtId="38" fontId="21" fillId="0" borderId="0" xfId="20" applyFont="1" applyBorder="1" applyAlignment="1">
      <alignment vertical="center"/>
    </xf>
    <xf numFmtId="176" fontId="21" fillId="0" borderId="35" xfId="20" applyNumberFormat="1" applyFont="1" applyBorder="1" applyAlignment="1">
      <alignment vertical="center"/>
    </xf>
    <xf numFmtId="38" fontId="21" fillId="0" borderId="0" xfId="20" applyFont="1" applyBorder="1" applyAlignment="1">
      <alignment horizontal="center" vertical="center"/>
    </xf>
    <xf numFmtId="0" fontId="23" fillId="0" borderId="55" xfId="0" applyFont="1" applyBorder="1" applyAlignment="1">
      <alignment vertical="center"/>
    </xf>
    <xf numFmtId="176" fontId="21" fillId="0" borderId="35" xfId="20" applyNumberFormat="1" applyFont="1" applyBorder="1" applyAlignment="1">
      <alignment horizontal="center" vertical="center"/>
    </xf>
    <xf numFmtId="2" fontId="21" fillId="0" borderId="0" xfId="20" applyNumberFormat="1" applyFont="1" applyBorder="1" applyAlignment="1">
      <alignment horizontal="center" vertical="center"/>
    </xf>
    <xf numFmtId="38" fontId="12" fillId="0" borderId="0" xfId="20" applyFont="1"/>
    <xf numFmtId="38" fontId="21" fillId="0" borderId="26" xfId="20" applyFont="1" applyBorder="1" applyAlignment="1">
      <alignment horizontal="center" vertical="center"/>
    </xf>
    <xf numFmtId="0" fontId="23" fillId="0" borderId="53" xfId="0" applyFont="1" applyBorder="1" applyAlignment="1">
      <alignment horizontal="right" vertical="center"/>
    </xf>
    <xf numFmtId="176" fontId="21" fillId="0" borderId="37" xfId="20" applyNumberFormat="1" applyFont="1" applyBorder="1" applyAlignment="1">
      <alignment horizontal="center" vertical="center"/>
    </xf>
    <xf numFmtId="2" fontId="21" fillId="0" borderId="26" xfId="20" applyNumberFormat="1" applyFont="1" applyBorder="1" applyAlignment="1">
      <alignment horizontal="center" vertical="center"/>
    </xf>
    <xf numFmtId="38" fontId="12" fillId="0" borderId="0" xfId="20" applyFont="1" applyAlignment="1">
      <alignment vertical="center"/>
    </xf>
    <xf numFmtId="0" fontId="23" fillId="10" borderId="55" xfId="0" applyFont="1" applyFill="1" applyBorder="1" applyAlignment="1">
      <alignment horizontal="right" vertical="center"/>
    </xf>
    <xf numFmtId="176" fontId="21" fillId="10" borderId="35" xfId="20" applyNumberFormat="1" applyFont="1" applyFill="1" applyBorder="1" applyAlignment="1">
      <alignment horizontal="center" vertical="center"/>
    </xf>
    <xf numFmtId="2" fontId="21" fillId="10" borderId="0" xfId="20" applyNumberFormat="1" applyFont="1" applyFill="1" applyBorder="1" applyAlignment="1">
      <alignment horizontal="center" vertical="center"/>
    </xf>
    <xf numFmtId="38" fontId="12" fillId="10" borderId="0" xfId="20" applyFont="1" applyFill="1" applyAlignment="1">
      <alignment vertical="center"/>
    </xf>
    <xf numFmtId="0" fontId="12" fillId="10" borderId="0" xfId="0" applyFont="1" applyFill="1" applyAlignment="1">
      <alignment vertical="center"/>
    </xf>
    <xf numFmtId="38" fontId="20" fillId="0" borderId="0" xfId="20" applyFont="1" applyBorder="1" applyAlignment="1">
      <alignment vertical="center"/>
    </xf>
    <xf numFmtId="38" fontId="21" fillId="0" borderId="55" xfId="20" applyFont="1" applyBorder="1" applyAlignment="1">
      <alignment horizontal="centerContinuous" vertical="center"/>
    </xf>
    <xf numFmtId="0" fontId="23" fillId="0" borderId="55" xfId="0" applyFont="1" applyBorder="1" applyAlignment="1">
      <alignment horizontal="right" vertical="center"/>
    </xf>
    <xf numFmtId="2" fontId="21" fillId="0" borderId="0" xfId="20" applyNumberFormat="1" applyFont="1" applyAlignment="1">
      <alignment horizontal="center" vertical="center"/>
    </xf>
    <xf numFmtId="2" fontId="21" fillId="0" borderId="60" xfId="20" applyNumberFormat="1" applyFont="1" applyBorder="1" applyAlignment="1">
      <alignment horizontal="center" vertical="center"/>
    </xf>
    <xf numFmtId="38" fontId="22" fillId="10" borderId="0" xfId="20" applyFont="1" applyFill="1" applyBorder="1" applyAlignment="1">
      <alignment vertical="center"/>
    </xf>
    <xf numFmtId="38" fontId="22" fillId="10" borderId="34" xfId="20" applyFont="1" applyFill="1" applyBorder="1" applyAlignment="1">
      <alignment vertical="center"/>
    </xf>
    <xf numFmtId="38" fontId="22" fillId="0" borderId="0" xfId="20" applyFont="1" applyBorder="1" applyAlignment="1">
      <alignment vertical="center"/>
    </xf>
    <xf numFmtId="38" fontId="21" fillId="10" borderId="34" xfId="20" applyFont="1" applyFill="1" applyBorder="1" applyAlignment="1">
      <alignment horizontal="center" vertical="center"/>
    </xf>
    <xf numFmtId="38" fontId="21" fillId="0" borderId="34" xfId="20" applyFont="1" applyBorder="1" applyAlignment="1">
      <alignment horizontal="center" vertical="center"/>
    </xf>
    <xf numFmtId="176" fontId="21" fillId="0" borderId="56" xfId="20" applyNumberFormat="1" applyFont="1" applyBorder="1" applyAlignment="1">
      <alignment horizontal="center" vertical="center"/>
    </xf>
    <xf numFmtId="38" fontId="21" fillId="0" borderId="0" xfId="20" applyFont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38" fontId="21" fillId="10" borderId="0" xfId="20" applyFont="1" applyFill="1" applyBorder="1" applyAlignment="1">
      <alignment horizontal="right" vertical="center"/>
    </xf>
    <xf numFmtId="0" fontId="23" fillId="10" borderId="55" xfId="0" applyFont="1" applyFill="1" applyBorder="1" applyAlignment="1">
      <alignment horizontal="center" vertical="center"/>
    </xf>
    <xf numFmtId="38" fontId="22" fillId="0" borderId="0" xfId="20" applyFont="1" applyFill="1" applyBorder="1" applyAlignment="1">
      <alignment vertical="center"/>
    </xf>
    <xf numFmtId="38" fontId="21" fillId="0" borderId="55" xfId="20" applyFont="1" applyFill="1" applyBorder="1" applyAlignment="1">
      <alignment vertical="center"/>
    </xf>
    <xf numFmtId="38" fontId="21" fillId="0" borderId="55" xfId="20" applyFont="1" applyFill="1" applyBorder="1" applyAlignment="1">
      <alignment horizontal="right" vertical="center"/>
    </xf>
    <xf numFmtId="38" fontId="21" fillId="0" borderId="34" xfId="20" applyFont="1" applyFill="1" applyBorder="1" applyAlignment="1">
      <alignment horizontal="center" vertical="center"/>
    </xf>
    <xf numFmtId="38" fontId="21" fillId="0" borderId="0" xfId="20" applyFont="1" applyFill="1" applyBorder="1" applyAlignment="1">
      <alignment vertical="center"/>
    </xf>
    <xf numFmtId="176" fontId="21" fillId="0" borderId="56" xfId="20" applyNumberFormat="1" applyFont="1" applyFill="1" applyBorder="1" applyAlignment="1">
      <alignment horizontal="center" vertical="center"/>
    </xf>
    <xf numFmtId="176" fontId="21" fillId="0" borderId="35" xfId="20" applyNumberFormat="1" applyFont="1" applyFill="1" applyBorder="1" applyAlignment="1">
      <alignment vertical="center"/>
    </xf>
    <xf numFmtId="0" fontId="23" fillId="0" borderId="55" xfId="0" applyFont="1" applyFill="1" applyBorder="1" applyAlignment="1">
      <alignment horizontal="right" vertical="center"/>
    </xf>
    <xf numFmtId="2" fontId="21" fillId="0" borderId="0" xfId="20" applyNumberFormat="1" applyFont="1" applyFill="1" applyBorder="1" applyAlignment="1">
      <alignment horizontal="center" vertical="center"/>
    </xf>
    <xf numFmtId="38" fontId="12" fillId="0" borderId="0" xfId="20" applyFont="1" applyBorder="1"/>
    <xf numFmtId="38" fontId="25" fillId="0" borderId="0" xfId="20" applyFont="1" applyBorder="1" applyAlignment="1">
      <alignment vertical="center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right"/>
    </xf>
    <xf numFmtId="38" fontId="21" fillId="0" borderId="35" xfId="20" applyFont="1" applyBorder="1" applyAlignment="1">
      <alignment horizontal="right" vertical="center"/>
    </xf>
    <xf numFmtId="38" fontId="21" fillId="0" borderId="33" xfId="20" applyFont="1" applyBorder="1" applyAlignment="1">
      <alignment horizontal="right" vertical="center"/>
    </xf>
    <xf numFmtId="38" fontId="21" fillId="0" borderId="61" xfId="20" applyFont="1" applyBorder="1" applyAlignment="1">
      <alignment horizontal="right" vertical="center"/>
    </xf>
    <xf numFmtId="38" fontId="21" fillId="0" borderId="37" xfId="20" applyFont="1" applyBorder="1" applyAlignment="1">
      <alignment horizontal="right" vertical="center"/>
    </xf>
    <xf numFmtId="38" fontId="21" fillId="0" borderId="68" xfId="20" applyFont="1" applyBorder="1" applyAlignment="1">
      <alignment horizontal="right" vertical="center"/>
    </xf>
    <xf numFmtId="38" fontId="21" fillId="0" borderId="77" xfId="20" applyFont="1" applyBorder="1" applyAlignment="1">
      <alignment horizontal="right" vertical="center"/>
    </xf>
    <xf numFmtId="38" fontId="21" fillId="0" borderId="75" xfId="20" applyFont="1" applyBorder="1" applyAlignment="1">
      <alignment vertical="center"/>
    </xf>
    <xf numFmtId="38" fontId="21" fillId="0" borderId="34" xfId="20" applyFont="1" applyBorder="1" applyAlignment="1">
      <alignment vertical="center"/>
    </xf>
    <xf numFmtId="38" fontId="21" fillId="0" borderId="36" xfId="20" applyFont="1" applyBorder="1" applyAlignment="1">
      <alignment vertical="center"/>
    </xf>
    <xf numFmtId="38" fontId="21" fillId="0" borderId="32" xfId="20" applyFont="1" applyBorder="1" applyAlignment="1">
      <alignment vertical="center"/>
    </xf>
    <xf numFmtId="38" fontId="21" fillId="0" borderId="41" xfId="20" applyFont="1" applyBorder="1" applyAlignment="1">
      <alignment horizontal="right" vertical="center"/>
    </xf>
    <xf numFmtId="38" fontId="21" fillId="0" borderId="0" xfId="20" applyFont="1" applyBorder="1" applyAlignment="1">
      <alignment horizontal="right" vertical="center"/>
    </xf>
    <xf numFmtId="38" fontId="21" fillId="0" borderId="26" xfId="20" applyFont="1" applyBorder="1" applyAlignment="1">
      <alignment horizontal="right" vertical="center"/>
    </xf>
    <xf numFmtId="0" fontId="12" fillId="0" borderId="0" xfId="0" applyFont="1" applyFill="1" applyBorder="1"/>
    <xf numFmtId="0" fontId="0" fillId="0" borderId="0" xfId="0" applyFill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right" vertical="center"/>
    </xf>
    <xf numFmtId="38" fontId="12" fillId="0" borderId="29" xfId="20" applyFont="1" applyFill="1" applyBorder="1" applyAlignment="1">
      <alignment horizontal="left"/>
    </xf>
    <xf numFmtId="0" fontId="12" fillId="0" borderId="36" xfId="0" applyFont="1" applyFill="1" applyBorder="1" applyAlignment="1">
      <alignment horizontal="center"/>
    </xf>
    <xf numFmtId="38" fontId="12" fillId="0" borderId="26" xfId="20" applyFont="1" applyFill="1" applyBorder="1" applyAlignment="1">
      <alignment horizontal="center" vertical="center"/>
    </xf>
    <xf numFmtId="38" fontId="12" fillId="0" borderId="37" xfId="20" applyFont="1" applyFill="1" applyBorder="1" applyAlignment="1">
      <alignment horizontal="centerContinuous"/>
    </xf>
    <xf numFmtId="38" fontId="21" fillId="0" borderId="28" xfId="20" applyFont="1" applyFill="1" applyBorder="1" applyAlignment="1">
      <alignment vertical="center"/>
    </xf>
    <xf numFmtId="38" fontId="21" fillId="0" borderId="29" xfId="20" applyFont="1" applyFill="1" applyBorder="1" applyAlignment="1">
      <alignment vertical="center"/>
    </xf>
    <xf numFmtId="180" fontId="21" fillId="0" borderId="29" xfId="20" applyNumberFormat="1" applyFont="1" applyFill="1" applyBorder="1" applyAlignment="1">
      <alignment vertical="center"/>
    </xf>
    <xf numFmtId="180" fontId="12" fillId="0" borderId="29" xfId="20" applyNumberFormat="1" applyFont="1" applyFill="1" applyBorder="1"/>
    <xf numFmtId="0" fontId="12" fillId="0" borderId="21" xfId="0" applyFont="1" applyFill="1" applyBorder="1" applyAlignment="1">
      <alignment horizontal="center" vertical="center"/>
    </xf>
    <xf numFmtId="0" fontId="21" fillId="0" borderId="28" xfId="20" applyNumberFormat="1" applyFont="1" applyFill="1" applyBorder="1" applyAlignment="1">
      <alignment horizontal="right" vertical="center"/>
    </xf>
    <xf numFmtId="38" fontId="21" fillId="0" borderId="28" xfId="20" applyFont="1" applyFill="1" applyBorder="1" applyAlignment="1">
      <alignment horizontal="right" vertical="center"/>
    </xf>
    <xf numFmtId="38" fontId="21" fillId="0" borderId="94" xfId="20" applyFont="1" applyFill="1" applyBorder="1" applyAlignment="1">
      <alignment vertical="center"/>
    </xf>
    <xf numFmtId="38" fontId="21" fillId="0" borderId="95" xfId="20" applyFont="1" applyFill="1" applyBorder="1" applyAlignment="1">
      <alignment vertical="center"/>
    </xf>
    <xf numFmtId="180" fontId="21" fillId="0" borderId="95" xfId="20" applyNumberFormat="1" applyFont="1" applyFill="1" applyBorder="1" applyAlignment="1">
      <alignment vertical="center"/>
    </xf>
    <xf numFmtId="180" fontId="12" fillId="0" borderId="95" xfId="20" applyNumberFormat="1" applyFont="1" applyFill="1" applyBorder="1"/>
    <xf numFmtId="180" fontId="21" fillId="0" borderId="37" xfId="20" applyNumberFormat="1" applyFont="1" applyFill="1" applyBorder="1" applyAlignment="1">
      <alignment vertical="center"/>
    </xf>
    <xf numFmtId="38" fontId="21" fillId="0" borderId="36" xfId="20" applyFont="1" applyFill="1" applyBorder="1" applyAlignment="1">
      <alignment vertical="center"/>
    </xf>
    <xf numFmtId="38" fontId="21" fillId="0" borderId="37" xfId="2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26" xfId="0" applyFont="1" applyFill="1" applyBorder="1" applyAlignment="1">
      <alignment vertical="center"/>
    </xf>
    <xf numFmtId="0" fontId="21" fillId="0" borderId="36" xfId="0" applyFont="1" applyFill="1" applyBorder="1" applyAlignment="1">
      <alignment vertical="center"/>
    </xf>
    <xf numFmtId="0" fontId="21" fillId="0" borderId="74" xfId="0" applyFont="1" applyFill="1" applyBorder="1" applyAlignment="1">
      <alignment vertical="center"/>
    </xf>
    <xf numFmtId="0" fontId="21" fillId="0" borderId="94" xfId="0" applyFont="1" applyFill="1" applyBorder="1" applyAlignment="1">
      <alignment vertical="center"/>
    </xf>
    <xf numFmtId="0" fontId="21" fillId="0" borderId="91" xfId="0" applyFont="1" applyFill="1" applyBorder="1" applyAlignment="1">
      <alignment vertical="center"/>
    </xf>
    <xf numFmtId="38" fontId="21" fillId="0" borderId="0" xfId="20" applyFont="1" applyFill="1" applyAlignment="1">
      <alignment vertical="center"/>
    </xf>
    <xf numFmtId="38" fontId="12" fillId="0" borderId="0" xfId="20" applyFont="1" applyFill="1" applyBorder="1"/>
    <xf numFmtId="0" fontId="21" fillId="0" borderId="0" xfId="0" applyFont="1" applyFill="1" applyBorder="1" applyAlignment="1">
      <alignment vertical="center"/>
    </xf>
    <xf numFmtId="38" fontId="12" fillId="0" borderId="35" xfId="20" applyFont="1" applyFill="1" applyBorder="1"/>
    <xf numFmtId="0" fontId="12" fillId="0" borderId="26" xfId="0" applyFont="1" applyFill="1" applyBorder="1" applyAlignment="1">
      <alignment horizontal="centerContinuous"/>
    </xf>
    <xf numFmtId="0" fontId="12" fillId="0" borderId="26" xfId="0" applyFont="1" applyFill="1" applyBorder="1" applyAlignment="1">
      <alignment horizontal="right" vertical="center"/>
    </xf>
    <xf numFmtId="38" fontId="21" fillId="0" borderId="0" xfId="20" applyFont="1" applyFill="1" applyBorder="1" applyAlignment="1">
      <alignment horizontal="right" vertical="center"/>
    </xf>
    <xf numFmtId="0" fontId="21" fillId="0" borderId="35" xfId="0" applyFont="1" applyFill="1" applyBorder="1" applyAlignment="1">
      <alignment horizontal="right" vertical="center"/>
    </xf>
    <xf numFmtId="0" fontId="12" fillId="0" borderId="35" xfId="0" applyFont="1" applyFill="1" applyBorder="1"/>
    <xf numFmtId="38" fontId="21" fillId="0" borderId="29" xfId="20" applyFont="1" applyFill="1" applyBorder="1" applyAlignment="1">
      <alignment horizontal="right" vertical="center"/>
    </xf>
    <xf numFmtId="38" fontId="12" fillId="0" borderId="29" xfId="20" applyFont="1" applyFill="1" applyBorder="1" applyAlignment="1">
      <alignment horizontal="centerContinuous"/>
    </xf>
    <xf numFmtId="38" fontId="21" fillId="0" borderId="36" xfId="20" applyFont="1" applyFill="1" applyBorder="1" applyAlignment="1">
      <alignment horizontal="right" vertical="center"/>
    </xf>
    <xf numFmtId="38" fontId="21" fillId="0" borderId="26" xfId="20" applyFont="1" applyFill="1" applyBorder="1" applyAlignment="1">
      <alignment horizontal="right" vertical="center"/>
    </xf>
    <xf numFmtId="38" fontId="21" fillId="0" borderId="37" xfId="20" applyFont="1" applyFill="1" applyBorder="1" applyAlignment="1">
      <alignment horizontal="right" vertical="center"/>
    </xf>
    <xf numFmtId="38" fontId="12" fillId="0" borderId="37" xfId="20" applyFont="1" applyFill="1" applyBorder="1" applyAlignment="1">
      <alignment horizontal="center"/>
    </xf>
    <xf numFmtId="38" fontId="12" fillId="0" borderId="29" xfId="20" applyFont="1" applyFill="1" applyBorder="1"/>
    <xf numFmtId="38" fontId="21" fillId="0" borderId="94" xfId="20" applyFont="1" applyFill="1" applyBorder="1" applyAlignment="1">
      <alignment horizontal="right" vertical="center"/>
    </xf>
    <xf numFmtId="38" fontId="21" fillId="0" borderId="95" xfId="20" applyFont="1" applyFill="1" applyBorder="1" applyAlignment="1">
      <alignment horizontal="right" vertical="center"/>
    </xf>
    <xf numFmtId="38" fontId="12" fillId="0" borderId="95" xfId="20" applyFont="1" applyFill="1" applyBorder="1"/>
    <xf numFmtId="38" fontId="12" fillId="0" borderId="37" xfId="20" applyFont="1" applyFill="1" applyBorder="1"/>
    <xf numFmtId="0" fontId="21" fillId="0" borderId="28" xfId="0" applyFont="1" applyFill="1" applyBorder="1" applyAlignment="1">
      <alignment horizontal="right" vertical="center"/>
    </xf>
    <xf numFmtId="0" fontId="21" fillId="0" borderId="26" xfId="0" applyFont="1" applyFill="1" applyBorder="1" applyAlignment="1">
      <alignment horizontal="right" vertical="center"/>
    </xf>
    <xf numFmtId="0" fontId="21" fillId="0" borderId="37" xfId="0" applyFont="1" applyFill="1" applyBorder="1" applyAlignment="1">
      <alignment horizontal="right" vertical="center"/>
    </xf>
    <xf numFmtId="0" fontId="12" fillId="0" borderId="37" xfId="0" applyFont="1" applyFill="1" applyBorder="1"/>
    <xf numFmtId="0" fontId="21" fillId="0" borderId="74" xfId="0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right" vertical="center"/>
    </xf>
    <xf numFmtId="0" fontId="12" fillId="0" borderId="29" xfId="0" applyFont="1" applyFill="1" applyBorder="1"/>
    <xf numFmtId="0" fontId="21" fillId="0" borderId="94" xfId="0" applyFont="1" applyFill="1" applyBorder="1" applyAlignment="1">
      <alignment horizontal="right" vertical="center"/>
    </xf>
    <xf numFmtId="0" fontId="21" fillId="0" borderId="91" xfId="0" applyFont="1" applyFill="1" applyBorder="1" applyAlignment="1">
      <alignment horizontal="right" vertical="center"/>
    </xf>
    <xf numFmtId="0" fontId="21" fillId="0" borderId="97" xfId="0" applyFont="1" applyFill="1" applyBorder="1" applyAlignment="1">
      <alignment horizontal="right" vertical="center"/>
    </xf>
    <xf numFmtId="38" fontId="21" fillId="0" borderId="0" xfId="20" applyFont="1" applyFill="1" applyAlignment="1">
      <alignment horizontal="right" vertical="center"/>
    </xf>
    <xf numFmtId="38" fontId="21" fillId="0" borderId="35" xfId="20" applyFont="1" applyFill="1" applyBorder="1" applyAlignment="1">
      <alignment horizontal="right" vertical="center"/>
    </xf>
    <xf numFmtId="38" fontId="12" fillId="0" borderId="99" xfId="20" applyFont="1" applyFill="1" applyBorder="1"/>
    <xf numFmtId="0" fontId="21" fillId="0" borderId="28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180" fontId="21" fillId="0" borderId="37" xfId="0" applyNumberFormat="1" applyFont="1" applyFill="1" applyBorder="1" applyAlignment="1">
      <alignment horizontal="right" vertical="center"/>
    </xf>
    <xf numFmtId="180" fontId="21" fillId="0" borderId="28" xfId="0" applyNumberFormat="1" applyFont="1" applyFill="1" applyBorder="1" applyAlignment="1">
      <alignment horizontal="right" vertical="center"/>
    </xf>
    <xf numFmtId="180" fontId="21" fillId="0" borderId="26" xfId="0" applyNumberFormat="1" applyFont="1" applyFill="1" applyBorder="1" applyAlignment="1">
      <alignment horizontal="right" vertical="center"/>
    </xf>
    <xf numFmtId="0" fontId="12" fillId="0" borderId="37" xfId="0" applyFont="1" applyFill="1" applyBorder="1" applyAlignment="1"/>
    <xf numFmtId="38" fontId="12" fillId="0" borderId="0" xfId="20" applyFont="1" applyFill="1" applyBorder="1" applyAlignment="1">
      <alignment horizontal="center" vertical="center"/>
    </xf>
    <xf numFmtId="38" fontId="12" fillId="0" borderId="0" xfId="20" applyFont="1" applyFill="1" applyAlignment="1">
      <alignment horizontal="center" vertical="center"/>
    </xf>
    <xf numFmtId="38" fontId="12" fillId="0" borderId="0" xfId="20" applyFont="1" applyFill="1"/>
    <xf numFmtId="0" fontId="12" fillId="0" borderId="0" xfId="0" applyFont="1" applyFill="1" applyBorder="1" applyAlignment="1">
      <alignment horizontal="center" vertical="center"/>
    </xf>
    <xf numFmtId="38" fontId="12" fillId="0" borderId="26" xfId="20" applyFont="1" applyFill="1" applyBorder="1" applyAlignment="1">
      <alignment horizontal="right" vertical="center"/>
    </xf>
    <xf numFmtId="38" fontId="12" fillId="0" borderId="26" xfId="20" applyFont="1" applyFill="1" applyBorder="1"/>
    <xf numFmtId="176" fontId="21" fillId="0" borderId="37" xfId="0" applyNumberFormat="1" applyFont="1" applyFill="1" applyBorder="1" applyAlignment="1">
      <alignment horizontal="right" vertical="center"/>
    </xf>
    <xf numFmtId="176" fontId="21" fillId="0" borderId="26" xfId="0" applyNumberFormat="1" applyFont="1" applyFill="1" applyBorder="1" applyAlignment="1">
      <alignment horizontal="right" vertical="center"/>
    </xf>
    <xf numFmtId="0" fontId="12" fillId="0" borderId="28" xfId="0" applyFont="1" applyFill="1" applyBorder="1"/>
    <xf numFmtId="0" fontId="12" fillId="0" borderId="74" xfId="0" applyFont="1" applyFill="1" applyBorder="1"/>
    <xf numFmtId="176" fontId="21" fillId="0" borderId="29" xfId="0" applyNumberFormat="1" applyFont="1" applyFill="1" applyBorder="1" applyAlignment="1">
      <alignment horizontal="right"/>
    </xf>
    <xf numFmtId="176" fontId="21" fillId="0" borderId="28" xfId="0" applyNumberFormat="1" applyFont="1" applyFill="1" applyBorder="1" applyAlignment="1">
      <alignment horizontal="right"/>
    </xf>
    <xf numFmtId="176" fontId="21" fillId="0" borderId="74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0" xfId="21" applyFont="1"/>
    <xf numFmtId="0" fontId="15" fillId="0" borderId="0" xfId="21" applyFont="1"/>
    <xf numFmtId="0" fontId="42" fillId="11" borderId="0" xfId="22" applyFont="1" applyFill="1"/>
    <xf numFmtId="0" fontId="42" fillId="11" borderId="0" xfId="21" applyFont="1" applyFill="1"/>
    <xf numFmtId="0" fontId="21" fillId="17" borderId="27" xfId="21" applyFont="1" applyFill="1" applyBorder="1" applyAlignment="1">
      <alignment horizontal="distributed" vertical="center"/>
    </xf>
    <xf numFmtId="0" fontId="43" fillId="18" borderId="83" xfId="21" applyFont="1" applyFill="1" applyBorder="1" applyAlignment="1">
      <alignment horizontal="center" vertical="center"/>
    </xf>
    <xf numFmtId="0" fontId="21" fillId="0" borderId="41" xfId="21" applyFont="1" applyBorder="1" applyAlignment="1">
      <alignment vertical="center"/>
    </xf>
    <xf numFmtId="38" fontId="21" fillId="19" borderId="33" xfId="20" applyFont="1" applyFill="1" applyBorder="1" applyAlignment="1">
      <alignment horizontal="center" vertical="center"/>
    </xf>
    <xf numFmtId="0" fontId="21" fillId="19" borderId="33" xfId="21" applyFont="1" applyFill="1" applyBorder="1" applyAlignment="1">
      <alignment horizontal="right" vertical="center"/>
    </xf>
    <xf numFmtId="0" fontId="21" fillId="14" borderId="28" xfId="21" applyFont="1" applyFill="1" applyBorder="1" applyAlignment="1">
      <alignment horizontal="right" vertical="center"/>
    </xf>
    <xf numFmtId="0" fontId="21" fillId="14" borderId="74" xfId="21" applyFont="1" applyFill="1" applyBorder="1" applyAlignment="1">
      <alignment horizontal="right" vertical="center"/>
    </xf>
    <xf numFmtId="38" fontId="21" fillId="14" borderId="32" xfId="20" applyFont="1" applyFill="1" applyBorder="1" applyAlignment="1">
      <alignment horizontal="center" vertical="center" wrapText="1"/>
    </xf>
    <xf numFmtId="38" fontId="21" fillId="19" borderId="19" xfId="20" applyFont="1" applyFill="1" applyBorder="1" applyAlignment="1">
      <alignment horizontal="center" vertical="center" wrapText="1"/>
    </xf>
    <xf numFmtId="38" fontId="21" fillId="15" borderId="28" xfId="20" applyFont="1" applyFill="1" applyBorder="1" applyAlignment="1">
      <alignment horizontal="distributed" vertical="center"/>
    </xf>
    <xf numFmtId="0" fontId="26" fillId="15" borderId="74" xfId="21" applyFont="1" applyFill="1" applyBorder="1" applyAlignment="1">
      <alignment vertical="center"/>
    </xf>
    <xf numFmtId="38" fontId="21" fillId="15" borderId="41" xfId="20" applyFont="1" applyFill="1" applyBorder="1" applyAlignment="1">
      <alignment horizontal="left" vertical="center"/>
    </xf>
    <xf numFmtId="0" fontId="21" fillId="15" borderId="41" xfId="21" applyFont="1" applyFill="1" applyBorder="1" applyAlignment="1">
      <alignment vertical="center"/>
    </xf>
    <xf numFmtId="0" fontId="21" fillId="15" borderId="74" xfId="21" applyFont="1" applyFill="1" applyBorder="1" applyAlignment="1">
      <alignment vertical="center"/>
    </xf>
    <xf numFmtId="38" fontId="21" fillId="15" borderId="33" xfId="20" applyFont="1" applyFill="1" applyBorder="1" applyAlignment="1">
      <alignment horizontal="right" vertical="center"/>
    </xf>
    <xf numFmtId="38" fontId="21" fillId="16" borderId="33" xfId="20" applyFont="1" applyFill="1" applyBorder="1" applyAlignment="1">
      <alignment horizontal="center" vertical="center"/>
    </xf>
    <xf numFmtId="38" fontId="21" fillId="16" borderId="41" xfId="20" applyFont="1" applyFill="1" applyBorder="1" applyAlignment="1">
      <alignment horizontal="center" vertical="center"/>
    </xf>
    <xf numFmtId="0" fontId="21" fillId="0" borderId="0" xfId="21" applyFont="1"/>
    <xf numFmtId="38" fontId="21" fillId="0" borderId="21" xfId="20" applyFont="1" applyBorder="1" applyAlignment="1">
      <alignment horizontal="center" vertical="center"/>
    </xf>
    <xf numFmtId="38" fontId="21" fillId="0" borderId="27" xfId="20" applyFont="1" applyBorder="1" applyAlignment="1">
      <alignment horizontal="left"/>
    </xf>
    <xf numFmtId="0" fontId="21" fillId="0" borderId="37" xfId="21" applyFont="1" applyBorder="1"/>
    <xf numFmtId="0" fontId="21" fillId="0" borderId="37" xfId="21" applyFont="1" applyBorder="1" applyAlignment="1">
      <alignment horizontal="left"/>
    </xf>
    <xf numFmtId="38" fontId="21" fillId="14" borderId="29" xfId="20" applyFont="1" applyFill="1" applyBorder="1" applyAlignment="1">
      <alignment horizontal="left" wrapText="1"/>
    </xf>
    <xf numFmtId="38" fontId="21" fillId="14" borderId="27" xfId="20" applyFont="1" applyFill="1" applyBorder="1" applyAlignment="1">
      <alignment horizontal="left" wrapText="1"/>
    </xf>
    <xf numFmtId="0" fontId="21" fillId="14" borderId="20" xfId="21" applyFont="1" applyFill="1" applyBorder="1" applyAlignment="1">
      <alignment horizontal="left"/>
    </xf>
    <xf numFmtId="38" fontId="21" fillId="19" borderId="20" xfId="20" applyFont="1" applyFill="1" applyBorder="1" applyAlignment="1">
      <alignment horizontal="center" vertical="center" wrapText="1"/>
    </xf>
    <xf numFmtId="38" fontId="21" fillId="15" borderId="27" xfId="20" applyFont="1" applyFill="1" applyBorder="1" applyAlignment="1">
      <alignment horizontal="left" wrapText="1"/>
    </xf>
    <xf numFmtId="38" fontId="21" fillId="15" borderId="37" xfId="21" applyNumberFormat="1" applyFont="1" applyFill="1" applyBorder="1"/>
    <xf numFmtId="38" fontId="21" fillId="16" borderId="27" xfId="20" applyFont="1" applyFill="1" applyBorder="1" applyAlignment="1">
      <alignment vertical="center"/>
    </xf>
    <xf numFmtId="38" fontId="21" fillId="16" borderId="27" xfId="20" applyFont="1" applyFill="1" applyBorder="1" applyAlignment="1">
      <alignment horizontal="center" vertical="center"/>
    </xf>
    <xf numFmtId="38" fontId="21" fillId="16" borderId="19" xfId="20" applyFont="1" applyFill="1" applyBorder="1" applyAlignment="1">
      <alignment horizontal="center" vertical="center"/>
    </xf>
    <xf numFmtId="0" fontId="15" fillId="16" borderId="20" xfId="21" applyFont="1" applyFill="1" applyBorder="1"/>
    <xf numFmtId="0" fontId="21" fillId="0" borderId="0" xfId="21" applyFont="1" applyAlignment="1">
      <alignment horizontal="right"/>
    </xf>
    <xf numFmtId="186" fontId="21" fillId="0" borderId="40" xfId="21" applyNumberFormat="1" applyFont="1" applyBorder="1"/>
    <xf numFmtId="186" fontId="21" fillId="14" borderId="40" xfId="21" applyNumberFormat="1" applyFont="1" applyFill="1" applyBorder="1"/>
    <xf numFmtId="186" fontId="21" fillId="15" borderId="40" xfId="21" applyNumberFormat="1" applyFont="1" applyFill="1" applyBorder="1"/>
    <xf numFmtId="186" fontId="21" fillId="16" borderId="40" xfId="21" applyNumberFormat="1" applyFont="1" applyFill="1" applyBorder="1"/>
    <xf numFmtId="0" fontId="43" fillId="20" borderId="101" xfId="21" applyFont="1" applyFill="1" applyBorder="1" applyAlignment="1">
      <alignment horizontal="center"/>
    </xf>
    <xf numFmtId="40" fontId="43" fillId="20" borderId="102" xfId="21" applyNumberFormat="1" applyFont="1" applyFill="1" applyBorder="1"/>
    <xf numFmtId="40" fontId="43" fillId="20" borderId="103" xfId="21" applyNumberFormat="1" applyFont="1" applyFill="1" applyBorder="1"/>
    <xf numFmtId="40" fontId="43" fillId="14" borderId="102" xfId="21" applyNumberFormat="1" applyFont="1" applyFill="1" applyBorder="1"/>
    <xf numFmtId="40" fontId="43" fillId="15" borderId="102" xfId="21" applyNumberFormat="1" applyFont="1" applyFill="1" applyBorder="1"/>
    <xf numFmtId="40" fontId="43" fillId="16" borderId="102" xfId="21" applyNumberFormat="1" applyFont="1" applyFill="1" applyBorder="1"/>
    <xf numFmtId="0" fontId="21" fillId="0" borderId="27" xfId="21" applyFont="1" applyBorder="1" applyAlignment="1">
      <alignment horizontal="center"/>
    </xf>
    <xf numFmtId="0" fontId="21" fillId="0" borderId="85" xfId="21" applyFont="1" applyBorder="1"/>
    <xf numFmtId="0" fontId="21" fillId="0" borderId="83" xfId="21" applyFont="1" applyBorder="1"/>
    <xf numFmtId="0" fontId="21" fillId="14" borderId="83" xfId="21" applyFont="1" applyFill="1" applyBorder="1"/>
    <xf numFmtId="0" fontId="21" fillId="15" borderId="83" xfId="21" applyFont="1" applyFill="1" applyBorder="1"/>
    <xf numFmtId="0" fontId="21" fillId="16" borderId="83" xfId="21" applyFont="1" applyFill="1" applyBorder="1"/>
    <xf numFmtId="0" fontId="45" fillId="21" borderId="0" xfId="21" applyFont="1" applyFill="1"/>
    <xf numFmtId="0" fontId="42" fillId="0" borderId="0" xfId="21" applyFont="1"/>
    <xf numFmtId="0" fontId="15" fillId="9" borderId="0" xfId="21" applyFont="1" applyFill="1" applyAlignment="1">
      <alignment horizontal="right"/>
    </xf>
    <xf numFmtId="0" fontId="46" fillId="23" borderId="27" xfId="21" applyFont="1" applyFill="1" applyBorder="1" applyAlignment="1">
      <alignment horizontal="center" vertical="center"/>
    </xf>
    <xf numFmtId="0" fontId="43" fillId="20" borderId="83" xfId="21" applyFont="1" applyFill="1" applyBorder="1" applyAlignment="1">
      <alignment horizontal="center"/>
    </xf>
    <xf numFmtId="0" fontId="43" fillId="20" borderId="102" xfId="21" applyNumberFormat="1" applyFont="1" applyFill="1" applyBorder="1"/>
    <xf numFmtId="0" fontId="48" fillId="20" borderId="102" xfId="21" applyNumberFormat="1" applyFont="1" applyFill="1" applyBorder="1"/>
    <xf numFmtId="187" fontId="48" fillId="20" borderId="102" xfId="21" applyNumberFormat="1" applyFont="1" applyFill="1" applyBorder="1"/>
    <xf numFmtId="40" fontId="21" fillId="0" borderId="0" xfId="21" applyNumberFormat="1" applyFont="1"/>
    <xf numFmtId="180" fontId="21" fillId="0" borderId="0" xfId="21" applyNumberFormat="1" applyFont="1"/>
    <xf numFmtId="38" fontId="21" fillId="0" borderId="28" xfId="20" applyFont="1" applyFill="1" applyBorder="1" applyAlignment="1">
      <alignment horizontal="center" vertical="center"/>
    </xf>
    <xf numFmtId="0" fontId="21" fillId="0" borderId="29" xfId="21" applyFont="1" applyFill="1" applyBorder="1"/>
    <xf numFmtId="0" fontId="21" fillId="0" borderId="19" xfId="21" applyFont="1" applyFill="1" applyBorder="1" applyAlignment="1">
      <alignment horizontal="right" vertical="center"/>
    </xf>
    <xf numFmtId="0" fontId="21" fillId="0" borderId="19" xfId="21" applyFont="1" applyFill="1" applyBorder="1"/>
    <xf numFmtId="0" fontId="21" fillId="0" borderId="19" xfId="21" applyFont="1" applyFill="1" applyBorder="1" applyAlignment="1">
      <alignment vertical="center"/>
    </xf>
    <xf numFmtId="38" fontId="21" fillId="0" borderId="27" xfId="20" applyFont="1" applyFill="1" applyBorder="1" applyAlignment="1">
      <alignment vertical="center" wrapText="1"/>
    </xf>
    <xf numFmtId="38" fontId="21" fillId="24" borderId="27" xfId="20" applyFont="1" applyFill="1" applyBorder="1" applyAlignment="1">
      <alignment vertical="center" wrapText="1"/>
    </xf>
    <xf numFmtId="38" fontId="21" fillId="0" borderId="37" xfId="20" applyFont="1" applyFill="1" applyBorder="1" applyAlignment="1">
      <alignment vertical="center" wrapText="1"/>
    </xf>
    <xf numFmtId="38" fontId="21" fillId="16" borderId="21" xfId="20" applyFont="1" applyFill="1" applyBorder="1" applyAlignment="1">
      <alignment vertical="center" wrapText="1"/>
    </xf>
    <xf numFmtId="38" fontId="21" fillId="0" borderId="34" xfId="20" applyFont="1" applyFill="1" applyBorder="1" applyAlignment="1">
      <alignment vertical="center" wrapText="1"/>
    </xf>
    <xf numFmtId="0" fontId="21" fillId="25" borderId="36" xfId="21" applyFont="1" applyFill="1" applyBorder="1" applyAlignment="1">
      <alignment vertical="center"/>
    </xf>
    <xf numFmtId="38" fontId="21" fillId="26" borderId="21" xfId="20" applyFont="1" applyFill="1" applyBorder="1" applyAlignment="1">
      <alignment vertical="center"/>
    </xf>
    <xf numFmtId="0" fontId="43" fillId="20" borderId="90" xfId="21" applyFont="1" applyFill="1" applyBorder="1" applyAlignment="1">
      <alignment horizontal="center"/>
    </xf>
    <xf numFmtId="188" fontId="43" fillId="20" borderId="102" xfId="21" applyNumberFormat="1" applyFont="1" applyFill="1" applyBorder="1"/>
    <xf numFmtId="180" fontId="47" fillId="0" borderId="0" xfId="21" applyNumberFormat="1" applyFont="1"/>
    <xf numFmtId="0" fontId="47" fillId="23" borderId="27" xfId="21" applyFont="1" applyFill="1" applyBorder="1" applyAlignment="1">
      <alignment horizontal="center" vertical="center"/>
    </xf>
    <xf numFmtId="0" fontId="21" fillId="32" borderId="27" xfId="21" applyFont="1" applyFill="1" applyBorder="1" applyAlignment="1">
      <alignment horizontal="distributed" vertical="center"/>
    </xf>
    <xf numFmtId="38" fontId="21" fillId="19" borderId="19" xfId="20" applyFont="1" applyFill="1" applyBorder="1" applyAlignment="1">
      <alignment horizontal="centerContinuous"/>
    </xf>
    <xf numFmtId="0" fontId="26" fillId="0" borderId="32" xfId="21" applyFont="1" applyBorder="1"/>
    <xf numFmtId="0" fontId="21" fillId="0" borderId="41" xfId="21" applyFont="1" applyBorder="1"/>
    <xf numFmtId="0" fontId="21" fillId="19" borderId="41" xfId="21" applyFont="1" applyFill="1" applyBorder="1"/>
    <xf numFmtId="0" fontId="21" fillId="0" borderId="74" xfId="21" applyFont="1" applyBorder="1"/>
    <xf numFmtId="0" fontId="21" fillId="19" borderId="33" xfId="21" applyFont="1" applyFill="1" applyBorder="1"/>
    <xf numFmtId="0" fontId="21" fillId="19" borderId="74" xfId="21" applyFont="1" applyFill="1" applyBorder="1"/>
    <xf numFmtId="38" fontId="21" fillId="19" borderId="19" xfId="20" applyFont="1" applyFill="1" applyBorder="1" applyAlignment="1">
      <alignment horizontal="center" wrapText="1"/>
    </xf>
    <xf numFmtId="38" fontId="21" fillId="28" borderId="32" xfId="20" applyFont="1" applyFill="1" applyBorder="1" applyAlignment="1">
      <alignment horizontal="center" wrapText="1"/>
    </xf>
    <xf numFmtId="38" fontId="21" fillId="28" borderId="104" xfId="20" applyFont="1" applyFill="1" applyBorder="1" applyAlignment="1">
      <alignment horizontal="center" wrapText="1"/>
    </xf>
    <xf numFmtId="38" fontId="21" fillId="28" borderId="105" xfId="20" applyFont="1" applyFill="1" applyBorder="1" applyAlignment="1">
      <alignment horizontal="center" wrapText="1"/>
    </xf>
    <xf numFmtId="38" fontId="21" fillId="29" borderId="19" xfId="20" applyFont="1" applyFill="1" applyBorder="1" applyAlignment="1">
      <alignment horizontal="distributed" justifyLastLine="1"/>
    </xf>
    <xf numFmtId="38" fontId="21" fillId="30" borderId="33" xfId="20" applyFont="1" applyFill="1" applyBorder="1" applyAlignment="1">
      <alignment horizontal="distributed" justifyLastLine="1"/>
    </xf>
    <xf numFmtId="38" fontId="21" fillId="19" borderId="19" xfId="20" applyFont="1" applyFill="1" applyBorder="1" applyAlignment="1">
      <alignment horizontal="distributed" justifyLastLine="1"/>
    </xf>
    <xf numFmtId="0" fontId="21" fillId="0" borderId="21" xfId="21" applyFont="1" applyBorder="1" applyAlignment="1">
      <alignment horizontal="center" vertical="center"/>
    </xf>
    <xf numFmtId="0" fontId="21" fillId="0" borderId="20" xfId="21" applyFont="1" applyBorder="1"/>
    <xf numFmtId="38" fontId="17" fillId="0" borderId="27" xfId="20" applyFont="1" applyBorder="1" applyAlignment="1">
      <alignment horizontal="left" wrapText="1"/>
    </xf>
    <xf numFmtId="38" fontId="21" fillId="0" borderId="27" xfId="20" applyFont="1" applyBorder="1" applyAlignment="1">
      <alignment horizontal="left" wrapText="1"/>
    </xf>
    <xf numFmtId="38" fontId="21" fillId="0" borderId="29" xfId="20" applyFont="1" applyBorder="1" applyAlignment="1">
      <alignment horizontal="left"/>
    </xf>
    <xf numFmtId="38" fontId="21" fillId="19" borderId="20" xfId="20" applyFont="1" applyFill="1" applyBorder="1" applyAlignment="1">
      <alignment horizontal="left" vertical="center" wrapText="1"/>
    </xf>
    <xf numFmtId="38" fontId="21" fillId="0" borderId="27" xfId="20" applyFont="1" applyBorder="1" applyAlignment="1">
      <alignment horizontal="left" vertical="center" wrapText="1"/>
    </xf>
    <xf numFmtId="38" fontId="21" fillId="0" borderId="29" xfId="20" applyFont="1" applyBorder="1" applyAlignment="1">
      <alignment horizontal="left" vertical="center" wrapText="1"/>
    </xf>
    <xf numFmtId="38" fontId="21" fillId="28" borderId="27" xfId="20" applyFont="1" applyFill="1" applyBorder="1" applyAlignment="1">
      <alignment horizontal="center" wrapText="1"/>
    </xf>
    <xf numFmtId="0" fontId="21" fillId="29" borderId="20" xfId="21" applyFont="1" applyFill="1" applyBorder="1"/>
    <xf numFmtId="0" fontId="21" fillId="30" borderId="20" xfId="21" applyFont="1" applyFill="1" applyBorder="1"/>
    <xf numFmtId="0" fontId="21" fillId="31" borderId="20" xfId="21" applyFont="1" applyFill="1" applyBorder="1" applyAlignment="1">
      <alignment wrapText="1"/>
    </xf>
    <xf numFmtId="38" fontId="21" fillId="0" borderId="20" xfId="21" applyNumberFormat="1" applyFont="1" applyBorder="1"/>
    <xf numFmtId="186" fontId="21" fillId="0" borderId="35" xfId="21" applyNumberFormat="1" applyFont="1" applyBorder="1"/>
    <xf numFmtId="186" fontId="21" fillId="0" borderId="35" xfId="21" applyNumberFormat="1" applyFont="1" applyFill="1" applyBorder="1"/>
    <xf numFmtId="40" fontId="43" fillId="20" borderId="107" xfId="21" applyNumberFormat="1" applyFont="1" applyFill="1" applyBorder="1"/>
    <xf numFmtId="0" fontId="21" fillId="0" borderId="83" xfId="21" applyFont="1" applyFill="1" applyBorder="1"/>
    <xf numFmtId="38" fontId="47" fillId="19" borderId="27" xfId="20" applyFont="1" applyFill="1" applyBorder="1" applyAlignment="1">
      <alignment horizontal="centerContinuous"/>
    </xf>
    <xf numFmtId="0" fontId="21" fillId="0" borderId="27" xfId="21" applyFont="1" applyBorder="1" applyAlignment="1">
      <alignment wrapText="1"/>
    </xf>
    <xf numFmtId="0" fontId="47" fillId="0" borderId="27" xfId="21" applyFont="1" applyBorder="1"/>
    <xf numFmtId="38" fontId="21" fillId="11" borderId="27" xfId="20" applyFont="1" applyFill="1" applyBorder="1" applyAlignment="1">
      <alignment horizontal="center" vertical="center" wrapText="1"/>
    </xf>
    <xf numFmtId="38" fontId="47" fillId="11" borderId="27" xfId="20" applyFont="1" applyFill="1" applyBorder="1" applyAlignment="1">
      <alignment horizontal="center" wrapText="1"/>
    </xf>
    <xf numFmtId="38" fontId="47" fillId="33" borderId="19" xfId="20" applyFont="1" applyFill="1" applyBorder="1" applyAlignment="1">
      <alignment horizontal="center" wrapText="1"/>
    </xf>
    <xf numFmtId="38" fontId="45" fillId="19" borderId="27" xfId="20" applyFont="1" applyFill="1" applyBorder="1" applyAlignment="1">
      <alignment horizontal="distributed" vertical="center" wrapText="1" justifyLastLine="1"/>
    </xf>
    <xf numFmtId="38" fontId="47" fillId="19" borderId="27" xfId="20" applyFont="1" applyFill="1" applyBorder="1" applyAlignment="1">
      <alignment horizontal="distributed" wrapText="1" justifyLastLine="1"/>
    </xf>
    <xf numFmtId="188" fontId="48" fillId="20" borderId="102" xfId="21" applyNumberFormat="1" applyFont="1" applyFill="1" applyBorder="1"/>
    <xf numFmtId="0" fontId="21" fillId="34" borderId="0" xfId="21" applyFont="1" applyFill="1"/>
    <xf numFmtId="0" fontId="49" fillId="34" borderId="0" xfId="21" applyFont="1" applyFill="1"/>
    <xf numFmtId="38" fontId="21" fillId="0" borderId="0" xfId="20" applyFont="1" applyFill="1" applyBorder="1" applyAlignment="1">
      <alignment horizontal="center" vertical="center"/>
    </xf>
    <xf numFmtId="0" fontId="21" fillId="33" borderId="28" xfId="21" applyFont="1" applyFill="1" applyBorder="1"/>
    <xf numFmtId="0" fontId="21" fillId="33" borderId="74" xfId="21" applyFont="1" applyFill="1" applyBorder="1"/>
    <xf numFmtId="0" fontId="21" fillId="33" borderId="29" xfId="21" applyFont="1" applyFill="1" applyBorder="1"/>
    <xf numFmtId="0" fontId="21" fillId="35" borderId="28" xfId="21" applyFont="1" applyFill="1" applyBorder="1"/>
    <xf numFmtId="0" fontId="21" fillId="35" borderId="74" xfId="21" applyFont="1" applyFill="1" applyBorder="1"/>
    <xf numFmtId="0" fontId="21" fillId="35" borderId="29" xfId="21" applyFont="1" applyFill="1" applyBorder="1"/>
    <xf numFmtId="38" fontId="21" fillId="33" borderId="27" xfId="20" applyFont="1" applyFill="1" applyBorder="1" applyAlignment="1">
      <alignment vertical="center"/>
    </xf>
    <xf numFmtId="38" fontId="17" fillId="0" borderId="27" xfId="20" applyFont="1" applyBorder="1" applyAlignment="1">
      <alignment vertical="center" wrapText="1"/>
    </xf>
    <xf numFmtId="38" fontId="21" fillId="0" borderId="27" xfId="20" applyFont="1" applyBorder="1" applyAlignment="1">
      <alignment vertical="center" wrapText="1"/>
    </xf>
    <xf numFmtId="38" fontId="21" fillId="0" borderId="29" xfId="20" applyFont="1" applyBorder="1" applyAlignment="1">
      <alignment vertical="center"/>
    </xf>
    <xf numFmtId="38" fontId="21" fillId="0" borderId="29" xfId="20" applyFont="1" applyBorder="1" applyAlignment="1">
      <alignment vertical="center" wrapText="1"/>
    </xf>
    <xf numFmtId="38" fontId="45" fillId="0" borderId="29" xfId="20" applyFont="1" applyBorder="1" applyAlignment="1">
      <alignment vertical="center" wrapText="1"/>
    </xf>
    <xf numFmtId="38" fontId="21" fillId="0" borderId="19" xfId="20" applyFont="1" applyFill="1" applyBorder="1" applyAlignment="1">
      <alignment vertical="center" wrapText="1"/>
    </xf>
    <xf numFmtId="38" fontId="21" fillId="35" borderId="19" xfId="20" applyFont="1" applyFill="1" applyBorder="1" applyAlignment="1">
      <alignment vertical="center" wrapText="1"/>
    </xf>
    <xf numFmtId="38" fontId="21" fillId="33" borderId="19" xfId="20" applyFont="1" applyFill="1" applyBorder="1" applyAlignment="1">
      <alignment vertical="center" wrapText="1"/>
    </xf>
    <xf numFmtId="0" fontId="21" fillId="0" borderId="20" xfId="21" applyFont="1" applyBorder="1" applyAlignment="1">
      <alignment vertical="center" wrapText="1"/>
    </xf>
    <xf numFmtId="40" fontId="43" fillId="20" borderId="97" xfId="21" applyNumberFormat="1" applyFont="1" applyFill="1" applyBorder="1"/>
    <xf numFmtId="0" fontId="49" fillId="0" borderId="0" xfId="21" applyFont="1"/>
    <xf numFmtId="0" fontId="21" fillId="31" borderId="106" xfId="21" applyFont="1" applyFill="1" applyBorder="1" applyAlignment="1">
      <alignment horizontal="right" vertical="center"/>
    </xf>
    <xf numFmtId="38" fontId="21" fillId="19" borderId="27" xfId="20" applyFont="1" applyFill="1" applyBorder="1" applyAlignment="1">
      <alignment horizontal="distributed" vertical="center" wrapText="1" justifyLastLine="1"/>
    </xf>
    <xf numFmtId="38" fontId="21" fillId="0" borderId="33" xfId="20" applyFont="1" applyFill="1" applyBorder="1" applyAlignment="1">
      <alignment horizontal="center" vertical="center"/>
    </xf>
    <xf numFmtId="0" fontId="45" fillId="19" borderId="28" xfId="21" applyFont="1" applyFill="1" applyBorder="1" applyAlignment="1">
      <alignment vertical="center"/>
    </xf>
    <xf numFmtId="0" fontId="21" fillId="19" borderId="74" xfId="21" applyFont="1" applyFill="1" applyBorder="1" applyAlignment="1">
      <alignment vertical="center"/>
    </xf>
    <xf numFmtId="0" fontId="21" fillId="0" borderId="33" xfId="21" applyFont="1" applyFill="1" applyBorder="1" applyAlignment="1">
      <alignment vertical="center"/>
    </xf>
    <xf numFmtId="38" fontId="21" fillId="0" borderId="19" xfId="20" applyFont="1" applyFill="1" applyBorder="1" applyAlignment="1">
      <alignment vertical="center"/>
    </xf>
    <xf numFmtId="0" fontId="21" fillId="19" borderId="28" xfId="21" applyFont="1" applyFill="1" applyBorder="1" applyAlignment="1">
      <alignment vertical="center"/>
    </xf>
    <xf numFmtId="38" fontId="21" fillId="0" borderId="33" xfId="20" applyFont="1" applyFill="1" applyBorder="1" applyAlignment="1">
      <alignment vertical="center"/>
    </xf>
    <xf numFmtId="38" fontId="17" fillId="0" borderId="19" xfId="20" applyFont="1" applyFill="1" applyBorder="1" applyAlignment="1">
      <alignment vertical="center"/>
    </xf>
    <xf numFmtId="38" fontId="21" fillId="19" borderId="32" xfId="20" applyFont="1" applyFill="1" applyBorder="1" applyAlignment="1">
      <alignment vertical="center"/>
    </xf>
    <xf numFmtId="38" fontId="21" fillId="19" borderId="41" xfId="20" applyFont="1" applyFill="1" applyBorder="1" applyAlignment="1">
      <alignment vertical="center"/>
    </xf>
    <xf numFmtId="38" fontId="21" fillId="19" borderId="33" xfId="20" applyFont="1" applyFill="1" applyBorder="1" applyAlignment="1">
      <alignment vertical="center"/>
    </xf>
    <xf numFmtId="0" fontId="21" fillId="0" borderId="37" xfId="21" applyFont="1" applyFill="1" applyBorder="1"/>
    <xf numFmtId="38" fontId="45" fillId="0" borderId="27" xfId="20" applyFont="1" applyFill="1" applyBorder="1" applyAlignment="1">
      <alignment vertical="center"/>
    </xf>
    <xf numFmtId="38" fontId="21" fillId="0" borderId="27" xfId="20" applyFont="1" applyFill="1" applyBorder="1" applyAlignment="1">
      <alignment vertical="center"/>
    </xf>
    <xf numFmtId="38" fontId="21" fillId="14" borderId="27" xfId="20" applyFont="1" applyFill="1" applyBorder="1" applyAlignment="1">
      <alignment vertical="center"/>
    </xf>
    <xf numFmtId="0" fontId="21" fillId="0" borderId="37" xfId="21" applyFont="1" applyFill="1" applyBorder="1" applyAlignment="1">
      <alignment vertical="center"/>
    </xf>
    <xf numFmtId="0" fontId="21" fillId="0" borderId="20" xfId="21" applyFont="1" applyFill="1" applyBorder="1" applyAlignment="1">
      <alignment vertical="center"/>
    </xf>
    <xf numFmtId="0" fontId="21" fillId="0" borderId="27" xfId="21" applyFont="1" applyFill="1" applyBorder="1" applyAlignment="1">
      <alignment vertical="center"/>
    </xf>
    <xf numFmtId="38" fontId="21" fillId="19" borderId="27" xfId="20" applyFont="1" applyFill="1" applyBorder="1" applyAlignment="1">
      <alignment vertical="center"/>
    </xf>
    <xf numFmtId="38" fontId="21" fillId="19" borderId="19" xfId="20" applyFont="1" applyFill="1" applyBorder="1" applyAlignment="1">
      <alignment vertical="center"/>
    </xf>
    <xf numFmtId="0" fontId="15" fillId="0" borderId="20" xfId="21" applyFont="1" applyBorder="1" applyAlignment="1">
      <alignment vertical="center"/>
    </xf>
    <xf numFmtId="0" fontId="21" fillId="0" borderId="0" xfId="21" applyFont="1" applyAlignment="1">
      <alignment vertical="center"/>
    </xf>
    <xf numFmtId="186" fontId="21" fillId="0" borderId="40" xfId="21" applyNumberFormat="1" applyFont="1" applyFill="1" applyBorder="1"/>
    <xf numFmtId="40" fontId="43" fillId="0" borderId="102" xfId="21" applyNumberFormat="1" applyFont="1" applyFill="1" applyBorder="1"/>
    <xf numFmtId="38" fontId="21" fillId="19" borderId="43" xfId="20" applyFont="1" applyFill="1" applyBorder="1" applyAlignment="1">
      <alignment horizontal="center" vertical="center" wrapText="1"/>
    </xf>
    <xf numFmtId="0" fontId="21" fillId="19" borderId="33" xfId="21" applyFont="1" applyFill="1" applyBorder="1" applyAlignment="1">
      <alignment horizontal="right" vertical="center" wrapText="1"/>
    </xf>
    <xf numFmtId="38" fontId="21" fillId="11" borderId="19" xfId="20" applyFont="1" applyFill="1" applyBorder="1" applyAlignment="1">
      <alignment horizontal="center" vertical="center" wrapText="1"/>
    </xf>
    <xf numFmtId="38" fontId="21" fillId="19" borderId="33" xfId="20" applyFont="1" applyFill="1" applyBorder="1" applyAlignment="1">
      <alignment horizontal="center" vertical="center" wrapText="1"/>
    </xf>
    <xf numFmtId="38" fontId="17" fillId="19" borderId="41" xfId="20" applyFont="1" applyFill="1" applyBorder="1" applyAlignment="1">
      <alignment horizontal="center" vertical="center" wrapText="1"/>
    </xf>
    <xf numFmtId="187" fontId="43" fillId="20" borderId="102" xfId="21" applyNumberFormat="1" applyFont="1" applyFill="1" applyBorder="1"/>
    <xf numFmtId="0" fontId="42" fillId="0" borderId="0" xfId="22" applyFont="1"/>
    <xf numFmtId="38" fontId="21" fillId="33" borderId="32" xfId="20" applyFont="1" applyFill="1" applyBorder="1" applyAlignment="1">
      <alignment horizontal="center" vertical="center"/>
    </xf>
    <xf numFmtId="0" fontId="21" fillId="33" borderId="19" xfId="21" applyFont="1" applyFill="1" applyBorder="1" applyAlignment="1">
      <alignment horizontal="right" vertical="center"/>
    </xf>
    <xf numFmtId="0" fontId="21" fillId="0" borderId="19" xfId="21" applyFont="1" applyBorder="1"/>
    <xf numFmtId="0" fontId="21" fillId="33" borderId="19" xfId="21" applyFont="1" applyFill="1" applyBorder="1" applyAlignment="1">
      <alignment horizontal="center" vertical="center"/>
    </xf>
    <xf numFmtId="0" fontId="21" fillId="33" borderId="19" xfId="21" applyFont="1" applyFill="1" applyBorder="1"/>
    <xf numFmtId="38" fontId="21" fillId="19" borderId="40" xfId="20" applyFont="1" applyFill="1" applyBorder="1" applyAlignment="1">
      <alignment horizontal="center" vertical="center" wrapText="1"/>
    </xf>
    <xf numFmtId="38" fontId="21" fillId="0" borderId="37" xfId="20" applyFont="1" applyFill="1" applyBorder="1" applyAlignment="1">
      <alignment horizontal="left" wrapText="1"/>
    </xf>
    <xf numFmtId="38" fontId="21" fillId="33" borderId="21" xfId="20" applyFont="1" applyFill="1" applyBorder="1" applyAlignment="1">
      <alignment horizontal="center" vertical="center" wrapText="1"/>
    </xf>
    <xf numFmtId="0" fontId="21" fillId="33" borderId="36" xfId="21" applyFont="1" applyFill="1" applyBorder="1" applyAlignment="1">
      <alignment horizontal="center" vertical="center"/>
    </xf>
    <xf numFmtId="38" fontId="17" fillId="19" borderId="97" xfId="20" applyFont="1" applyFill="1" applyBorder="1" applyAlignment="1">
      <alignment horizontal="center" vertical="center" wrapText="1"/>
    </xf>
    <xf numFmtId="38" fontId="21" fillId="19" borderId="19" xfId="20" applyFont="1" applyFill="1" applyBorder="1" applyAlignment="1">
      <alignment horizontal="center" vertical="center"/>
    </xf>
    <xf numFmtId="0" fontId="26" fillId="0" borderId="32" xfId="21" applyBorder="1"/>
    <xf numFmtId="38" fontId="21" fillId="11" borderId="19" xfId="20" applyFont="1" applyFill="1" applyBorder="1" applyAlignment="1">
      <alignment horizontal="center" wrapText="1"/>
    </xf>
    <xf numFmtId="0" fontId="21" fillId="19" borderId="28" xfId="21" applyFont="1" applyFill="1" applyBorder="1" applyAlignment="1">
      <alignment horizontal="right" vertical="center"/>
    </xf>
    <xf numFmtId="38" fontId="21" fillId="19" borderId="33" xfId="20" applyFont="1" applyFill="1" applyBorder="1" applyAlignment="1">
      <alignment horizontal="distributed" justifyLastLine="1"/>
    </xf>
    <xf numFmtId="38" fontId="47" fillId="19" borderId="19" xfId="20" applyFont="1" applyFill="1" applyBorder="1" applyAlignment="1">
      <alignment horizontal="distributed" justifyLastLine="1"/>
    </xf>
    <xf numFmtId="38" fontId="50" fillId="0" borderId="27" xfId="20" applyFont="1" applyBorder="1" applyAlignment="1">
      <alignment horizontal="left" wrapText="1"/>
    </xf>
    <xf numFmtId="38" fontId="24" fillId="0" borderId="29" xfId="20" applyFont="1" applyBorder="1" applyAlignment="1">
      <alignment horizontal="left"/>
    </xf>
    <xf numFmtId="0" fontId="21" fillId="11" borderId="20" xfId="21" applyFont="1" applyFill="1" applyBorder="1"/>
    <xf numFmtId="0" fontId="47" fillId="0" borderId="27" xfId="21" applyFont="1" applyBorder="1" applyAlignment="1">
      <alignment wrapText="1"/>
    </xf>
    <xf numFmtId="38" fontId="47" fillId="19" borderId="27" xfId="20" applyFont="1" applyFill="1" applyBorder="1" applyAlignment="1">
      <alignment vertical="center"/>
    </xf>
    <xf numFmtId="0" fontId="21" fillId="0" borderId="27" xfId="21" applyFont="1" applyBorder="1" applyAlignment="1">
      <alignment vertical="center" wrapText="1"/>
    </xf>
    <xf numFmtId="0" fontId="47" fillId="0" borderId="27" xfId="21" applyFont="1" applyBorder="1" applyAlignment="1">
      <alignment vertical="center"/>
    </xf>
    <xf numFmtId="38" fontId="47" fillId="11" borderId="27" xfId="20" applyFont="1" applyFill="1" applyBorder="1" applyAlignment="1">
      <alignment vertical="center" wrapText="1"/>
    </xf>
    <xf numFmtId="38" fontId="47" fillId="19" borderId="27" xfId="20" applyFont="1" applyFill="1" applyBorder="1" applyAlignment="1">
      <alignment vertical="center" wrapText="1"/>
    </xf>
    <xf numFmtId="0" fontId="47" fillId="33" borderId="106" xfId="21" applyFont="1" applyFill="1" applyBorder="1"/>
    <xf numFmtId="0" fontId="47" fillId="0" borderId="106" xfId="21" applyFont="1" applyBorder="1"/>
    <xf numFmtId="0" fontId="21" fillId="33" borderId="28" xfId="21" applyFont="1" applyFill="1" applyBorder="1" applyAlignment="1">
      <alignment vertical="center"/>
    </xf>
    <xf numFmtId="38" fontId="21" fillId="33" borderId="27" xfId="20" applyFont="1" applyFill="1" applyBorder="1" applyAlignment="1">
      <alignment vertical="center" wrapText="1"/>
    </xf>
    <xf numFmtId="38" fontId="21" fillId="0" borderId="40" xfId="20" applyFont="1" applyBorder="1" applyAlignment="1">
      <alignment vertical="center" wrapText="1"/>
    </xf>
    <xf numFmtId="38" fontId="21" fillId="33" borderId="40" xfId="20" applyFont="1" applyFill="1" applyBorder="1" applyAlignment="1">
      <alignment vertical="center" wrapText="1"/>
    </xf>
    <xf numFmtId="0" fontId="21" fillId="0" borderId="40" xfId="21" applyFont="1" applyBorder="1" applyAlignment="1">
      <alignment vertical="center" wrapText="1"/>
    </xf>
    <xf numFmtId="40" fontId="15" fillId="0" borderId="0" xfId="21" applyNumberFormat="1" applyFont="1"/>
    <xf numFmtId="0" fontId="12" fillId="0" borderId="0" xfId="21" applyFont="1" applyAlignment="1">
      <alignment horizontal="left"/>
    </xf>
    <xf numFmtId="0" fontId="12" fillId="0" borderId="0" xfId="21" applyFont="1"/>
    <xf numFmtId="0" fontId="26" fillId="0" borderId="0" xfId="21"/>
    <xf numFmtId="0" fontId="15" fillId="0" borderId="27" xfId="21" applyFont="1" applyBorder="1" applyAlignment="1">
      <alignment horizontal="centerContinuous" vertical="center"/>
    </xf>
    <xf numFmtId="0" fontId="12" fillId="0" borderId="0" xfId="21" applyFont="1" applyBorder="1" applyAlignment="1">
      <alignment horizontal="centerContinuous" vertical="center"/>
    </xf>
    <xf numFmtId="0" fontId="13" fillId="0" borderId="0" xfId="21" applyFont="1" applyBorder="1" applyAlignment="1">
      <alignment horizontal="centerContinuous" vertical="center"/>
    </xf>
    <xf numFmtId="0" fontId="12" fillId="0" borderId="0" xfId="21" applyFont="1" applyBorder="1"/>
    <xf numFmtId="0" fontId="26" fillId="0" borderId="0" xfId="21" applyBorder="1"/>
    <xf numFmtId="0" fontId="12" fillId="0" borderId="26" xfId="21" applyFont="1" applyBorder="1" applyAlignment="1">
      <alignment horizontal="left"/>
    </xf>
    <xf numFmtId="0" fontId="12" fillId="0" borderId="26" xfId="21" applyFont="1" applyBorder="1"/>
    <xf numFmtId="0" fontId="12" fillId="0" borderId="27" xfId="21" applyFont="1" applyBorder="1" applyAlignment="1">
      <alignment horizontal="left"/>
    </xf>
    <xf numFmtId="0" fontId="12" fillId="0" borderId="27" xfId="21" applyFont="1" applyBorder="1"/>
    <xf numFmtId="0" fontId="12" fillId="0" borderId="27" xfId="21" applyNumberFormat="1" applyFont="1" applyBorder="1"/>
    <xf numFmtId="181" fontId="12" fillId="0" borderId="0" xfId="21" applyNumberFormat="1" applyFont="1"/>
    <xf numFmtId="181" fontId="38" fillId="0" borderId="108" xfId="21" applyNumberFormat="1" applyFont="1" applyBorder="1"/>
    <xf numFmtId="0" fontId="21" fillId="0" borderId="0" xfId="21" quotePrefix="1" applyFont="1"/>
    <xf numFmtId="0" fontId="12" fillId="0" borderId="0" xfId="21" applyFont="1" applyAlignment="1">
      <alignment horizontal="right"/>
    </xf>
    <xf numFmtId="0" fontId="37" fillId="0" borderId="0" xfId="21" applyFont="1"/>
    <xf numFmtId="0" fontId="12" fillId="0" borderId="0" xfId="21" quotePrefix="1" applyFont="1"/>
    <xf numFmtId="0" fontId="51" fillId="0" borderId="0" xfId="21" applyFont="1"/>
    <xf numFmtId="0" fontId="12" fillId="0" borderId="0" xfId="21" applyFont="1" applyBorder="1" applyAlignment="1">
      <alignment horizontal="left"/>
    </xf>
    <xf numFmtId="0" fontId="12" fillId="38" borderId="27" xfId="21" applyFont="1" applyFill="1" applyBorder="1"/>
    <xf numFmtId="0" fontId="12" fillId="0" borderId="27" xfId="21" applyNumberFormat="1" applyFont="1" applyFill="1" applyBorder="1"/>
    <xf numFmtId="0" fontId="21" fillId="38" borderId="0" xfId="21" applyFont="1" applyFill="1"/>
    <xf numFmtId="0" fontId="12" fillId="9" borderId="0" xfId="21" applyFont="1" applyFill="1"/>
    <xf numFmtId="0" fontId="12" fillId="0" borderId="0" xfId="21" applyFont="1" applyFill="1"/>
    <xf numFmtId="0" fontId="43" fillId="0" borderId="0" xfId="0" applyFont="1"/>
    <xf numFmtId="0" fontId="43" fillId="0" borderId="82" xfId="0" applyFont="1" applyBorder="1" applyAlignment="1">
      <alignment horizontal="center" wrapText="1"/>
    </xf>
    <xf numFmtId="0" fontId="52" fillId="0" borderId="83" xfId="0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center" wrapText="1"/>
    </xf>
    <xf numFmtId="0" fontId="52" fillId="0" borderId="84" xfId="0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 wrapText="1"/>
    </xf>
    <xf numFmtId="0" fontId="43" fillId="0" borderId="0" xfId="0" quotePrefix="1" applyFont="1"/>
    <xf numFmtId="1" fontId="44" fillId="0" borderId="86" xfId="0" quotePrefix="1" applyNumberFormat="1" applyFont="1" applyBorder="1" applyAlignment="1">
      <alignment horizontal="center"/>
    </xf>
    <xf numFmtId="0" fontId="43" fillId="0" borderId="0" xfId="0" applyFont="1" applyAlignment="1">
      <alignment horizontal="right"/>
    </xf>
    <xf numFmtId="1" fontId="44" fillId="0" borderId="89" xfId="0" quotePrefix="1" applyNumberFormat="1" applyFont="1" applyBorder="1" applyAlignment="1">
      <alignment horizontal="center"/>
    </xf>
    <xf numFmtId="1" fontId="53" fillId="0" borderId="86" xfId="0" quotePrefix="1" applyNumberFormat="1" applyFont="1" applyBorder="1" applyAlignment="1">
      <alignment horizontal="center"/>
    </xf>
    <xf numFmtId="0" fontId="53" fillId="0" borderId="86" xfId="0" quotePrefix="1" applyFont="1" applyBorder="1" applyAlignment="1">
      <alignment horizontal="center"/>
    </xf>
    <xf numFmtId="0" fontId="53" fillId="0" borderId="89" xfId="0" quotePrefix="1" applyFont="1" applyBorder="1" applyAlignment="1">
      <alignment horizontal="center"/>
    </xf>
    <xf numFmtId="38" fontId="43" fillId="0" borderId="0" xfId="0" applyNumberFormat="1" applyFont="1"/>
    <xf numFmtId="38" fontId="43" fillId="0" borderId="0" xfId="20" applyFont="1"/>
    <xf numFmtId="0" fontId="30" fillId="0" borderId="26" xfId="0" applyFont="1" applyBorder="1"/>
    <xf numFmtId="0" fontId="30" fillId="0" borderId="26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19" xfId="0" applyFont="1" applyBorder="1" applyAlignment="1">
      <alignment horizontal="left"/>
    </xf>
    <xf numFmtId="0" fontId="30" fillId="0" borderId="0" xfId="0" applyFont="1" applyBorder="1" applyAlignment="1">
      <alignment shrinkToFit="1"/>
    </xf>
    <xf numFmtId="0" fontId="30" fillId="0" borderId="21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33" xfId="0" applyFont="1" applyBorder="1" applyAlignment="1">
      <alignment horizontal="center" vertical="center" shrinkToFit="1"/>
    </xf>
    <xf numFmtId="0" fontId="30" fillId="0" borderId="34" xfId="0" applyFont="1" applyFill="1" applyBorder="1" applyAlignment="1">
      <alignment horizontal="center" vertical="center" shrinkToFit="1"/>
    </xf>
    <xf numFmtId="0" fontId="31" fillId="0" borderId="35" xfId="0" applyFont="1" applyBorder="1" applyAlignment="1">
      <alignment horizontal="center" vertical="center" shrinkToFit="1"/>
    </xf>
    <xf numFmtId="0" fontId="30" fillId="0" borderId="0" xfId="0" applyFont="1" applyAlignment="1">
      <alignment shrinkToFit="1"/>
    </xf>
    <xf numFmtId="0" fontId="30" fillId="0" borderId="2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 shrinkToFit="1"/>
    </xf>
    <xf numFmtId="0" fontId="30" fillId="0" borderId="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1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center"/>
    </xf>
    <xf numFmtId="0" fontId="30" fillId="0" borderId="59" xfId="0" applyFont="1" applyBorder="1" applyAlignment="1">
      <alignment vertical="center"/>
    </xf>
    <xf numFmtId="0" fontId="30" fillId="0" borderId="61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0" borderId="34" xfId="0" applyFont="1" applyBorder="1" applyAlignment="1">
      <alignment horizontal="left" vertical="center"/>
    </xf>
    <xf numFmtId="0" fontId="30" fillId="0" borderId="20" xfId="0" applyFont="1" applyBorder="1" applyAlignment="1">
      <alignment vertical="center"/>
    </xf>
    <xf numFmtId="0" fontId="30" fillId="0" borderId="36" xfId="0" applyFont="1" applyBorder="1" applyAlignment="1">
      <alignment horizontal="left" vertical="center"/>
    </xf>
    <xf numFmtId="0" fontId="30" fillId="0" borderId="0" xfId="0" applyFont="1" applyFill="1" applyBorder="1"/>
    <xf numFmtId="0" fontId="31" fillId="0" borderId="0" xfId="21" applyFont="1"/>
    <xf numFmtId="38" fontId="43" fillId="0" borderId="0" xfId="21" applyNumberFormat="1" applyFont="1" applyBorder="1" applyAlignment="1">
      <alignment vertical="center"/>
    </xf>
    <xf numFmtId="0" fontId="31" fillId="0" borderId="35" xfId="21" applyFont="1" applyBorder="1"/>
    <xf numFmtId="0" fontId="43" fillId="0" borderId="29" xfId="21" applyFont="1" applyFill="1" applyBorder="1" applyAlignment="1">
      <alignment horizontal="right" vertical="center" shrinkToFit="1"/>
    </xf>
    <xf numFmtId="38" fontId="52" fillId="0" borderId="27" xfId="21" applyNumberFormat="1" applyFont="1" applyBorder="1" applyAlignment="1">
      <alignment vertical="center" shrinkToFit="1"/>
    </xf>
    <xf numFmtId="0" fontId="43" fillId="0" borderId="27" xfId="21" applyFont="1" applyFill="1" applyBorder="1" applyAlignment="1">
      <alignment horizontal="right" vertical="center" shrinkToFit="1"/>
    </xf>
    <xf numFmtId="0" fontId="43" fillId="0" borderId="20" xfId="21" applyFont="1" applyFill="1" applyBorder="1" applyAlignment="1">
      <alignment horizontal="right" vertical="center" shrinkToFit="1"/>
    </xf>
    <xf numFmtId="0" fontId="30" fillId="0" borderId="0" xfId="21" applyFont="1" applyAlignment="1">
      <alignment vertical="top" shrinkToFit="1"/>
    </xf>
    <xf numFmtId="0" fontId="30" fillId="0" borderId="0" xfId="21" applyFont="1" applyAlignment="1">
      <alignment shrinkToFit="1"/>
    </xf>
    <xf numFmtId="38" fontId="43" fillId="0" borderId="27" xfId="21" applyNumberFormat="1" applyFont="1" applyBorder="1" applyAlignment="1">
      <alignment vertical="center" shrinkToFit="1"/>
    </xf>
    <xf numFmtId="0" fontId="43" fillId="36" borderId="28" xfId="21" applyFont="1" applyFill="1" applyBorder="1" applyAlignment="1">
      <alignment horizontal="centerContinuous" vertical="center"/>
    </xf>
    <xf numFmtId="0" fontId="31" fillId="36" borderId="29" xfId="21" applyFont="1" applyFill="1" applyBorder="1" applyAlignment="1">
      <alignment horizontal="centerContinuous" vertical="center"/>
    </xf>
    <xf numFmtId="0" fontId="43" fillId="0" borderId="27" xfId="21" applyFont="1" applyBorder="1" applyAlignment="1">
      <alignment horizontal="right" vertical="center" shrinkToFit="1"/>
    </xf>
    <xf numFmtId="38" fontId="43" fillId="0" borderId="27" xfId="21" applyNumberFormat="1" applyFont="1" applyFill="1" applyBorder="1" applyAlignment="1">
      <alignment vertical="center" shrinkToFit="1"/>
    </xf>
    <xf numFmtId="0" fontId="43" fillId="12" borderId="28" xfId="21" applyFont="1" applyFill="1" applyBorder="1" applyAlignment="1">
      <alignment horizontal="centerContinuous" vertical="center"/>
    </xf>
    <xf numFmtId="0" fontId="31" fillId="12" borderId="29" xfId="21" applyFont="1" applyFill="1" applyBorder="1" applyAlignment="1">
      <alignment horizontal="centerContinuous" vertical="center"/>
    </xf>
    <xf numFmtId="0" fontId="43" fillId="27" borderId="28" xfId="21" applyFont="1" applyFill="1" applyBorder="1" applyAlignment="1">
      <alignment horizontal="centerContinuous" vertical="center"/>
    </xf>
    <xf numFmtId="0" fontId="31" fillId="27" borderId="29" xfId="21" applyFont="1" applyFill="1" applyBorder="1" applyAlignment="1">
      <alignment horizontal="centerContinuous" vertical="center"/>
    </xf>
    <xf numFmtId="0" fontId="29" fillId="0" borderId="0" xfId="21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center"/>
    </xf>
    <xf numFmtId="2" fontId="30" fillId="0" borderId="26" xfId="0" applyNumberFormat="1" applyFont="1" applyBorder="1"/>
    <xf numFmtId="0" fontId="30" fillId="0" borderId="34" xfId="0" applyFont="1" applyBorder="1"/>
    <xf numFmtId="0" fontId="30" fillId="0" borderId="35" xfId="0" applyFont="1" applyBorder="1" applyAlignment="1">
      <alignment horizontal="left"/>
    </xf>
    <xf numFmtId="0" fontId="30" fillId="0" borderId="35" xfId="0" applyFont="1" applyBorder="1" applyAlignment="1">
      <alignment horizontal="center"/>
    </xf>
    <xf numFmtId="176" fontId="30" fillId="0" borderId="35" xfId="0" applyNumberFormat="1" applyFont="1" applyBorder="1" applyAlignment="1">
      <alignment horizontal="center"/>
    </xf>
    <xf numFmtId="0" fontId="30" fillId="0" borderId="32" xfId="0" applyFont="1" applyBorder="1"/>
    <xf numFmtId="0" fontId="30" fillId="0" borderId="41" xfId="0" applyFont="1" applyBorder="1"/>
    <xf numFmtId="0" fontId="30" fillId="0" borderId="41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2" fontId="30" fillId="0" borderId="0" xfId="0" applyNumberFormat="1" applyFont="1"/>
    <xf numFmtId="0" fontId="30" fillId="0" borderId="35" xfId="0" applyFont="1" applyBorder="1"/>
    <xf numFmtId="0" fontId="30" fillId="0" borderId="35" xfId="0" applyFont="1" applyBorder="1" applyAlignment="1">
      <alignment horizontal="center" textRotation="255"/>
    </xf>
    <xf numFmtId="0" fontId="30" fillId="0" borderId="26" xfId="0" applyFont="1" applyBorder="1" applyAlignment="1">
      <alignment horizontal="centerContinuous" vertical="center"/>
    </xf>
    <xf numFmtId="176" fontId="30" fillId="0" borderId="37" xfId="0" applyNumberFormat="1" applyFont="1" applyBorder="1" applyAlignment="1">
      <alignment horizontal="centerContinuous" vertical="center"/>
    </xf>
    <xf numFmtId="0" fontId="30" fillId="0" borderId="26" xfId="0" applyFont="1" applyBorder="1" applyAlignment="1">
      <alignment horizontal="centerContinuous" vertical="center" wrapText="1"/>
    </xf>
    <xf numFmtId="0" fontId="30" fillId="0" borderId="26" xfId="0" applyFont="1" applyFill="1" applyBorder="1" applyAlignment="1">
      <alignment horizontal="centerContinuous" vertical="center" wrapText="1"/>
    </xf>
    <xf numFmtId="0" fontId="30" fillId="0" borderId="37" xfId="0" applyFont="1" applyFill="1" applyBorder="1" applyAlignment="1">
      <alignment horizontal="centerContinuous" vertical="center" wrapText="1"/>
    </xf>
    <xf numFmtId="0" fontId="30" fillId="0" borderId="36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2" fontId="30" fillId="0" borderId="0" xfId="0" applyNumberFormat="1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0" fontId="30" fillId="0" borderId="36" xfId="0" applyFont="1" applyBorder="1"/>
    <xf numFmtId="0" fontId="30" fillId="0" borderId="37" xfId="0" applyFont="1" applyBorder="1" applyAlignment="1">
      <alignment horizontal="left"/>
    </xf>
    <xf numFmtId="0" fontId="30" fillId="0" borderId="37" xfId="0" applyFont="1" applyBorder="1" applyAlignment="1">
      <alignment horizontal="center" vertical="center" textRotation="255"/>
    </xf>
    <xf numFmtId="0" fontId="30" fillId="0" borderId="53" xfId="0" applyFont="1" applyBorder="1" applyAlignment="1">
      <alignment horizontal="centerContinuous" vertical="center"/>
    </xf>
    <xf numFmtId="176" fontId="30" fillId="0" borderId="37" xfId="0" applyNumberFormat="1" applyFont="1" applyBorder="1" applyAlignment="1">
      <alignment horizontal="center" vertical="center" wrapText="1"/>
    </xf>
    <xf numFmtId="176" fontId="30" fillId="0" borderId="37" xfId="0" applyNumberFormat="1" applyFont="1" applyBorder="1" applyAlignment="1">
      <alignment horizontal="centerContinuous" vertical="center" wrapText="1"/>
    </xf>
    <xf numFmtId="0" fontId="30" fillId="0" borderId="53" xfId="0" applyFont="1" applyBorder="1" applyAlignment="1">
      <alignment horizontal="centerContinuous"/>
    </xf>
    <xf numFmtId="176" fontId="30" fillId="0" borderId="36" xfId="0" applyNumberFormat="1" applyFont="1" applyBorder="1" applyAlignment="1">
      <alignment horizontal="centerContinuous" vertical="center" wrapText="1"/>
    </xf>
    <xf numFmtId="0" fontId="30" fillId="0" borderId="26" xfId="0" applyFont="1" applyBorder="1" applyAlignment="1">
      <alignment horizontal="centerContinuous"/>
    </xf>
    <xf numFmtId="176" fontId="30" fillId="0" borderId="54" xfId="0" applyNumberFormat="1" applyFont="1" applyBorder="1" applyAlignment="1">
      <alignment horizontal="centerContinuous" vertical="center"/>
    </xf>
    <xf numFmtId="2" fontId="30" fillId="0" borderId="26" xfId="0" applyNumberFormat="1" applyFont="1" applyBorder="1" applyAlignment="1">
      <alignment horizontal="centerContinuous" vertical="top"/>
    </xf>
    <xf numFmtId="0" fontId="30" fillId="0" borderId="37" xfId="0" applyFont="1" applyBorder="1" applyAlignment="1">
      <alignment horizontal="centerContinuous" vertical="top"/>
    </xf>
    <xf numFmtId="0" fontId="30" fillId="10" borderId="34" xfId="0" applyFont="1" applyFill="1" applyBorder="1"/>
    <xf numFmtId="0" fontId="30" fillId="10" borderId="0" xfId="0" applyFont="1" applyFill="1" applyBorder="1" applyAlignment="1">
      <alignment horizontal="left"/>
    </xf>
    <xf numFmtId="0" fontId="30" fillId="10" borderId="35" xfId="0" applyFont="1" applyFill="1" applyBorder="1" applyAlignment="1">
      <alignment horizontal="left"/>
    </xf>
    <xf numFmtId="0" fontId="30" fillId="0" borderId="34" xfId="0" applyFont="1" applyBorder="1" applyAlignment="1">
      <alignment horizontal="centerContinuous"/>
    </xf>
    <xf numFmtId="0" fontId="30" fillId="0" borderId="0" xfId="0" applyFont="1" applyAlignment="1">
      <alignment horizontal="centerContinuous"/>
    </xf>
    <xf numFmtId="0" fontId="30" fillId="0" borderId="35" xfId="0" applyFont="1" applyBorder="1" applyAlignment="1">
      <alignment horizontal="centerContinuous"/>
    </xf>
    <xf numFmtId="1" fontId="30" fillId="0" borderId="21" xfId="0" applyNumberFormat="1" applyFont="1" applyBorder="1" applyAlignment="1">
      <alignment horizontal="center" vertical="center"/>
    </xf>
    <xf numFmtId="0" fontId="30" fillId="0" borderId="34" xfId="0" applyFont="1" applyBorder="1" applyAlignment="1">
      <alignment horizontal="left"/>
    </xf>
    <xf numFmtId="0" fontId="30" fillId="0" borderId="34" xfId="0" applyFont="1" applyBorder="1" applyAlignment="1">
      <alignment vertical="center"/>
    </xf>
    <xf numFmtId="0" fontId="30" fillId="0" borderId="26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  <xf numFmtId="1" fontId="30" fillId="0" borderId="20" xfId="0" applyNumberFormat="1" applyFont="1" applyBorder="1" applyAlignment="1">
      <alignment horizontal="center" vertical="center"/>
    </xf>
    <xf numFmtId="0" fontId="30" fillId="10" borderId="34" xfId="0" applyFont="1" applyFill="1" applyBorder="1" applyAlignment="1">
      <alignment vertical="center"/>
    </xf>
    <xf numFmtId="0" fontId="30" fillId="10" borderId="0" xfId="0" applyFont="1" applyFill="1" applyBorder="1" applyAlignment="1">
      <alignment horizontal="left" vertical="center"/>
    </xf>
    <xf numFmtId="0" fontId="30" fillId="10" borderId="35" xfId="0" applyFont="1" applyFill="1" applyBorder="1" applyAlignment="1">
      <alignment horizontal="left" vertical="center"/>
    </xf>
    <xf numFmtId="1" fontId="30" fillId="10" borderId="35" xfId="0" applyNumberFormat="1" applyFont="1" applyFill="1" applyBorder="1" applyAlignment="1">
      <alignment horizontal="center" vertical="center"/>
    </xf>
    <xf numFmtId="0" fontId="30" fillId="0" borderId="21" xfId="0" applyFont="1" applyBorder="1"/>
    <xf numFmtId="0" fontId="30" fillId="0" borderId="0" xfId="0" applyFont="1" applyAlignment="1">
      <alignment horizontal="centerContinuous" vertical="top"/>
    </xf>
    <xf numFmtId="1" fontId="30" fillId="0" borderId="35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60" xfId="0" applyFont="1" applyBorder="1" applyAlignment="1">
      <alignment horizontal="left" vertical="center"/>
    </xf>
    <xf numFmtId="0" fontId="30" fillId="0" borderId="60" xfId="0" applyFont="1" applyBorder="1" applyAlignment="1">
      <alignment horizontal="centerContinuous" vertical="center"/>
    </xf>
    <xf numFmtId="0" fontId="30" fillId="0" borderId="61" xfId="0" applyFont="1" applyBorder="1" applyAlignment="1">
      <alignment horizontal="centerContinuous" vertical="center"/>
    </xf>
    <xf numFmtId="1" fontId="30" fillId="0" borderId="59" xfId="0" applyNumberFormat="1" applyFont="1" applyFill="1" applyBorder="1" applyAlignment="1">
      <alignment horizontal="center" vertical="center"/>
    </xf>
    <xf numFmtId="0" fontId="30" fillId="10" borderId="0" xfId="0" applyFont="1" applyFill="1" applyBorder="1" applyAlignment="1">
      <alignment horizontal="centerContinuous" vertical="center"/>
    </xf>
    <xf numFmtId="0" fontId="30" fillId="10" borderId="35" xfId="0" applyFont="1" applyFill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top"/>
    </xf>
    <xf numFmtId="1" fontId="30" fillId="0" borderId="20" xfId="0" applyNumberFormat="1" applyFont="1" applyFill="1" applyBorder="1" applyAlignment="1">
      <alignment horizontal="center" vertical="center"/>
    </xf>
    <xf numFmtId="1" fontId="30" fillId="0" borderId="21" xfId="0" applyNumberFormat="1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1" fontId="30" fillId="0" borderId="69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54" fillId="0" borderId="20" xfId="0" applyFont="1" applyBorder="1" applyAlignment="1">
      <alignment vertical="center"/>
    </xf>
    <xf numFmtId="0" fontId="54" fillId="0" borderId="26" xfId="0" applyFont="1" applyBorder="1" applyAlignment="1">
      <alignment horizontal="left" vertical="center"/>
    </xf>
    <xf numFmtId="0" fontId="54" fillId="0" borderId="37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" fontId="30" fillId="0" borderId="19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1" fontId="30" fillId="0" borderId="79" xfId="0" applyNumberFormat="1" applyFont="1" applyBorder="1" applyAlignment="1">
      <alignment horizontal="center" vertical="center"/>
    </xf>
    <xf numFmtId="0" fontId="31" fillId="0" borderId="26" xfId="0" applyFont="1" applyBorder="1"/>
    <xf numFmtId="0" fontId="30" fillId="0" borderId="37" xfId="0" applyFont="1" applyBorder="1"/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30" fillId="0" borderId="0" xfId="0" applyFont="1" applyFill="1" applyBorder="1" applyAlignment="1">
      <alignment vertical="center"/>
    </xf>
    <xf numFmtId="0" fontId="0" fillId="0" borderId="0" xfId="0" applyFont="1" applyFill="1"/>
    <xf numFmtId="0" fontId="31" fillId="0" borderId="0" xfId="0" applyFont="1" applyFill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26" xfId="0" applyFont="1" applyBorder="1" applyAlignment="1">
      <alignment horizontal="left" vertical="top"/>
    </xf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vertical="top"/>
    </xf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left" vertical="top"/>
    </xf>
    <xf numFmtId="0" fontId="31" fillId="0" borderId="2" xfId="0" applyFont="1" applyBorder="1"/>
    <xf numFmtId="0" fontId="31" fillId="0" borderId="2" xfId="0" applyFont="1" applyBorder="1" applyAlignment="1">
      <alignment horizontal="right" vertical="center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Continuous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Fill="1" applyAlignment="1">
      <alignment horizontal="center"/>
    </xf>
    <xf numFmtId="0" fontId="31" fillId="0" borderId="26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15" fillId="0" borderId="0" xfId="8" applyFont="1" applyAlignment="1">
      <alignment horizontal="center" vertical="center"/>
    </xf>
    <xf numFmtId="179" fontId="15" fillId="0" borderId="0" xfId="8" applyNumberFormat="1" applyFont="1"/>
    <xf numFmtId="0" fontId="15" fillId="0" borderId="0" xfId="8" applyFont="1"/>
    <xf numFmtId="0" fontId="15" fillId="0" borderId="0" xfId="8" applyFont="1" applyAlignment="1">
      <alignment horizontal="left" vertical="center"/>
    </xf>
    <xf numFmtId="0" fontId="15" fillId="0" borderId="0" xfId="8" applyFont="1" applyAlignment="1">
      <alignment horizontal="left"/>
    </xf>
    <xf numFmtId="38" fontId="12" fillId="0" borderId="27" xfId="23" applyFont="1" applyBorder="1" applyAlignment="1">
      <alignment horizontal="right" vertical="center"/>
    </xf>
    <xf numFmtId="180" fontId="12" fillId="0" borderId="27" xfId="23" applyNumberFormat="1" applyFont="1" applyBorder="1" applyAlignment="1">
      <alignment horizontal="right" vertical="center"/>
    </xf>
    <xf numFmtId="0" fontId="31" fillId="0" borderId="0" xfId="8" applyFont="1" applyAlignment="1">
      <alignment horizontal="left"/>
    </xf>
    <xf numFmtId="0" fontId="31" fillId="0" borderId="0" xfId="8" applyFont="1" applyAlignment="1">
      <alignment horizontal="center" vertical="center"/>
    </xf>
    <xf numFmtId="0" fontId="31" fillId="0" borderId="0" xfId="8" applyFont="1"/>
    <xf numFmtId="179" fontId="31" fillId="0" borderId="0" xfId="8" applyNumberFormat="1" applyFont="1"/>
    <xf numFmtId="38" fontId="12" fillId="0" borderId="27" xfId="8" applyNumberFormat="1" applyFont="1" applyBorder="1" applyAlignment="1">
      <alignment vertical="center"/>
    </xf>
    <xf numFmtId="0" fontId="28" fillId="0" borderId="0" xfId="8" applyFont="1" applyAlignment="1">
      <alignment vertical="center"/>
    </xf>
    <xf numFmtId="0" fontId="12" fillId="0" borderId="27" xfId="0" applyFont="1" applyBorder="1"/>
    <xf numFmtId="0" fontId="12" fillId="0" borderId="29" xfId="0" applyFont="1" applyBorder="1"/>
    <xf numFmtId="0" fontId="12" fillId="0" borderId="74" xfId="0" applyFont="1" applyBorder="1"/>
    <xf numFmtId="0" fontId="12" fillId="0" borderId="28" xfId="0" applyFont="1" applyBorder="1"/>
    <xf numFmtId="0" fontId="0" fillId="0" borderId="0" xfId="0" applyAlignment="1">
      <alignment wrapText="1"/>
    </xf>
    <xf numFmtId="0" fontId="12" fillId="0" borderId="0" xfId="0" applyFont="1" applyAlignment="1">
      <alignment horizontal="left" vertical="distributed" wrapText="1"/>
    </xf>
    <xf numFmtId="0" fontId="0" fillId="11" borderId="0" xfId="0" applyFill="1"/>
    <xf numFmtId="38" fontId="20" fillId="10" borderId="36" xfId="20" applyFont="1" applyFill="1" applyBorder="1" applyAlignment="1">
      <alignment vertical="center"/>
    </xf>
    <xf numFmtId="0" fontId="21" fillId="10" borderId="20" xfId="0" applyFont="1" applyFill="1" applyBorder="1" applyAlignment="1">
      <alignment horizontal="center" vertical="center" wrapText="1"/>
    </xf>
    <xf numFmtId="0" fontId="12" fillId="10" borderId="0" xfId="0" applyFont="1" applyFill="1" applyBorder="1"/>
    <xf numFmtId="0" fontId="12" fillId="0" borderId="27" xfId="0" applyFont="1" applyBorder="1" applyAlignment="1">
      <alignment horizontal="right"/>
    </xf>
    <xf numFmtId="38" fontId="12" fillId="0" borderId="27" xfId="0" applyNumberFormat="1" applyFont="1" applyBorder="1"/>
    <xf numFmtId="176" fontId="12" fillId="0" borderId="27" xfId="0" applyNumberFormat="1" applyFont="1" applyBorder="1"/>
    <xf numFmtId="0" fontId="12" fillId="0" borderId="0" xfId="0" applyFont="1" applyFill="1"/>
    <xf numFmtId="0" fontId="0" fillId="0" borderId="0" xfId="0" applyAlignment="1">
      <alignment horizontal="right"/>
    </xf>
    <xf numFmtId="0" fontId="21" fillId="10" borderId="35" xfId="0" applyFont="1" applyFill="1" applyBorder="1" applyAlignment="1">
      <alignment horizontal="center" vertical="center" wrapText="1"/>
    </xf>
    <xf numFmtId="0" fontId="12" fillId="10" borderId="35" xfId="0" applyFont="1" applyFill="1" applyBorder="1" applyAlignment="1">
      <alignment horizontal="center" vertical="top"/>
    </xf>
    <xf numFmtId="176" fontId="12" fillId="0" borderId="27" xfId="0" applyNumberFormat="1" applyFont="1" applyBorder="1" applyAlignment="1">
      <alignment horizontal="right" vertical="center"/>
    </xf>
    <xf numFmtId="2" fontId="12" fillId="0" borderId="27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2" fontId="21" fillId="0" borderId="0" xfId="0" applyNumberFormat="1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2" fillId="0" borderId="27" xfId="0" applyFont="1" applyBorder="1" applyAlignment="1">
      <alignment vertical="center"/>
    </xf>
    <xf numFmtId="0" fontId="15" fillId="0" borderId="0" xfId="0" applyFont="1" applyFill="1"/>
    <xf numFmtId="3" fontId="22" fillId="0" borderId="0" xfId="0" applyNumberFormat="1" applyFont="1" applyFill="1" applyBorder="1"/>
    <xf numFmtId="0" fontId="12" fillId="0" borderId="36" xfId="0" applyFont="1" applyFill="1" applyBorder="1"/>
    <xf numFmtId="0" fontId="12" fillId="0" borderId="0" xfId="0" applyFont="1" applyFill="1" applyBorder="1" applyAlignment="1">
      <alignment horizontal="centerContinuous" vertical="center"/>
    </xf>
    <xf numFmtId="0" fontId="15" fillId="0" borderId="26" xfId="0" applyFont="1" applyFill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right" vertical="top"/>
    </xf>
    <xf numFmtId="0" fontId="37" fillId="0" borderId="0" xfId="0" applyFont="1"/>
    <xf numFmtId="0" fontId="12" fillId="12" borderId="27" xfId="0" applyFont="1" applyFill="1" applyBorder="1"/>
    <xf numFmtId="0" fontId="33" fillId="12" borderId="27" xfId="0" applyFont="1" applyFill="1" applyBorder="1"/>
    <xf numFmtId="0" fontId="13" fillId="0" borderId="0" xfId="0" applyFont="1" applyAlignment="1">
      <alignment horizontal="left"/>
    </xf>
    <xf numFmtId="0" fontId="12" fillId="12" borderId="27" xfId="0" applyFont="1" applyFill="1" applyBorder="1" applyAlignment="1">
      <alignment horizontal="right"/>
    </xf>
    <xf numFmtId="0" fontId="12" fillId="12" borderId="29" xfId="0" applyFont="1" applyFill="1" applyBorder="1"/>
    <xf numFmtId="0" fontId="12" fillId="12" borderId="28" xfId="0" applyFont="1" applyFill="1" applyBorder="1"/>
    <xf numFmtId="0" fontId="12" fillId="22" borderId="27" xfId="0" applyFont="1" applyFill="1" applyBorder="1" applyAlignment="1">
      <alignment horizontal="right"/>
    </xf>
    <xf numFmtId="0" fontId="12" fillId="22" borderId="29" xfId="0" applyFont="1" applyFill="1" applyBorder="1"/>
    <xf numFmtId="0" fontId="12" fillId="22" borderId="28" xfId="0" applyFont="1" applyFill="1" applyBorder="1"/>
    <xf numFmtId="0" fontId="12" fillId="22" borderId="27" xfId="0" applyFont="1" applyFill="1" applyBorder="1"/>
    <xf numFmtId="0" fontId="22" fillId="0" borderId="0" xfId="0" applyFont="1" applyFill="1" applyBorder="1" applyAlignment="1">
      <alignment horizontal="left"/>
    </xf>
    <xf numFmtId="38" fontId="22" fillId="0" borderId="34" xfId="0" applyNumberFormat="1" applyFont="1" applyFill="1" applyBorder="1"/>
    <xf numFmtId="0" fontId="38" fillId="0" borderId="0" xfId="0" applyFont="1" applyFill="1" applyBorder="1"/>
    <xf numFmtId="38" fontId="24" fillId="0" borderId="27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27" xfId="0" applyFont="1" applyFill="1" applyBorder="1" applyAlignment="1">
      <alignment horizontal="right"/>
    </xf>
    <xf numFmtId="38" fontId="21" fillId="0" borderId="27" xfId="20" applyFont="1" applyFill="1" applyBorder="1" applyAlignment="1">
      <alignment horizontal="center"/>
    </xf>
    <xf numFmtId="0" fontId="21" fillId="0" borderId="27" xfId="0" applyFont="1" applyFill="1" applyBorder="1" applyAlignment="1">
      <alignment horizontal="right" vertical="top"/>
    </xf>
    <xf numFmtId="0" fontId="21" fillId="0" borderId="58" xfId="0" applyFont="1" applyFill="1" applyBorder="1" applyAlignment="1">
      <alignment horizontal="right" vertical="top"/>
    </xf>
    <xf numFmtId="0" fontId="21" fillId="0" borderId="130" xfId="0" applyFont="1" applyFill="1" applyBorder="1" applyAlignment="1">
      <alignment horizontal="right" vertical="top"/>
    </xf>
    <xf numFmtId="0" fontId="21" fillId="0" borderId="128" xfId="0" applyFont="1" applyFill="1" applyBorder="1" applyAlignment="1">
      <alignment horizontal="right" vertical="top"/>
    </xf>
    <xf numFmtId="182" fontId="21" fillId="0" borderId="58" xfId="0" applyNumberFormat="1" applyFont="1" applyFill="1" applyBorder="1"/>
    <xf numFmtId="182" fontId="21" fillId="0" borderId="130" xfId="0" applyNumberFormat="1" applyFont="1" applyFill="1" applyBorder="1"/>
    <xf numFmtId="182" fontId="21" fillId="0" borderId="128" xfId="0" applyNumberFormat="1" applyFont="1" applyFill="1" applyBorder="1"/>
    <xf numFmtId="0" fontId="21" fillId="0" borderId="35" xfId="0" applyFont="1" applyFill="1" applyBorder="1" applyAlignment="1">
      <alignment horizontal="right" vertical="top"/>
    </xf>
    <xf numFmtId="38" fontId="21" fillId="0" borderId="0" xfId="20" applyFont="1" applyFill="1" applyBorder="1"/>
    <xf numFmtId="0" fontId="21" fillId="0" borderId="0" xfId="25" applyFont="1" applyFill="1" applyBorder="1" applyAlignment="1">
      <alignment horizontal="center" vertical="center"/>
    </xf>
    <xf numFmtId="0" fontId="21" fillId="0" borderId="66" xfId="25" applyFont="1" applyFill="1" applyBorder="1" applyAlignment="1">
      <alignment horizontal="center" vertical="center"/>
    </xf>
    <xf numFmtId="0" fontId="21" fillId="0" borderId="129" xfId="25" applyFont="1" applyFill="1" applyBorder="1" applyAlignment="1">
      <alignment horizontal="center" vertical="center"/>
    </xf>
    <xf numFmtId="0" fontId="21" fillId="0" borderId="125" xfId="25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right" vertical="top"/>
    </xf>
    <xf numFmtId="0" fontId="21" fillId="0" borderId="74" xfId="0" applyFont="1" applyFill="1" applyBorder="1" applyAlignment="1">
      <alignment horizontal="right" vertical="top"/>
    </xf>
    <xf numFmtId="0" fontId="21" fillId="0" borderId="28" xfId="0" applyFont="1" applyFill="1" applyBorder="1" applyAlignment="1">
      <alignment horizontal="center" vertical="top"/>
    </xf>
    <xf numFmtId="0" fontId="21" fillId="0" borderId="27" xfId="0" applyFont="1" applyFill="1" applyBorder="1" applyAlignment="1">
      <alignment horizontal="center" vertical="top"/>
    </xf>
    <xf numFmtId="0" fontId="21" fillId="0" borderId="0" xfId="25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3" fontId="21" fillId="0" borderId="0" xfId="0" applyNumberFormat="1" applyFont="1" applyFill="1" applyBorder="1"/>
    <xf numFmtId="38" fontId="21" fillId="0" borderId="0" xfId="20" applyFont="1" applyFill="1" applyBorder="1" applyAlignment="1">
      <alignment horizontal="right"/>
    </xf>
    <xf numFmtId="0" fontId="12" fillId="0" borderId="28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/>
    <xf numFmtId="185" fontId="22" fillId="0" borderId="0" xfId="0" applyNumberFormat="1" applyFont="1" applyFill="1" applyBorder="1"/>
    <xf numFmtId="185" fontId="22" fillId="0" borderId="34" xfId="0" applyNumberFormat="1" applyFont="1" applyFill="1" applyBorder="1"/>
    <xf numFmtId="0" fontId="21" fillId="0" borderId="132" xfId="0" applyFont="1" applyFill="1" applyBorder="1" applyAlignment="1">
      <alignment horizontal="right" vertical="top"/>
    </xf>
    <xf numFmtId="182" fontId="21" fillId="0" borderId="35" xfId="0" applyNumberFormat="1" applyFont="1" applyFill="1" applyBorder="1"/>
    <xf numFmtId="182" fontId="21" fillId="0" borderId="55" xfId="0" applyNumberFormat="1" applyFont="1" applyFill="1" applyBorder="1"/>
    <xf numFmtId="0" fontId="12" fillId="0" borderId="0" xfId="0" applyFont="1" applyFill="1" applyBorder="1" applyAlignment="1">
      <alignment horizontal="center"/>
    </xf>
    <xf numFmtId="38" fontId="21" fillId="0" borderId="0" xfId="2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/>
    </xf>
    <xf numFmtId="0" fontId="15" fillId="0" borderId="26" xfId="0" applyFont="1" applyFill="1" applyBorder="1" applyAlignment="1">
      <alignment vertical="top"/>
    </xf>
    <xf numFmtId="0" fontId="55" fillId="0" borderId="0" xfId="25" applyFont="1" applyFill="1" applyBorder="1" applyAlignment="1">
      <alignment horizontal="left" vertical="center"/>
    </xf>
    <xf numFmtId="0" fontId="12" fillId="0" borderId="0" xfId="0" applyFont="1" applyFill="1" applyAlignment="1">
      <alignment shrinkToFit="1"/>
    </xf>
    <xf numFmtId="176" fontId="12" fillId="0" borderId="0" xfId="0" applyNumberFormat="1" applyFont="1" applyFill="1"/>
    <xf numFmtId="38" fontId="12" fillId="0" borderId="0" xfId="0" applyNumberFormat="1" applyFont="1" applyFill="1"/>
    <xf numFmtId="0" fontId="21" fillId="0" borderId="68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0" fontId="12" fillId="0" borderId="0" xfId="0" applyFont="1" applyFill="1" applyBorder="1" applyAlignment="1">
      <alignment shrinkToFit="1"/>
    </xf>
    <xf numFmtId="38" fontId="20" fillId="0" borderId="0" xfId="2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centerContinuous"/>
    </xf>
    <xf numFmtId="0" fontId="31" fillId="0" borderId="0" xfId="0" applyFont="1" applyAlignment="1">
      <alignment horizontal="right"/>
    </xf>
    <xf numFmtId="0" fontId="31" fillId="0" borderId="27" xfId="0" applyFont="1" applyBorder="1"/>
    <xf numFmtId="0" fontId="31" fillId="0" borderId="0" xfId="0" applyFont="1" applyAlignment="1">
      <alignment shrinkToFit="1"/>
    </xf>
    <xf numFmtId="0" fontId="31" fillId="0" borderId="2" xfId="0" applyFont="1" applyBorder="1" applyAlignment="1">
      <alignment shrinkToFit="1"/>
    </xf>
    <xf numFmtId="0" fontId="31" fillId="0" borderId="2" xfId="0" applyFont="1" applyBorder="1" applyAlignment="1">
      <alignment vertical="top"/>
    </xf>
    <xf numFmtId="0" fontId="31" fillId="0" borderId="0" xfId="0" quotePrefix="1" applyFont="1"/>
    <xf numFmtId="0" fontId="44" fillId="0" borderId="0" xfId="0" applyFont="1" applyFill="1" applyBorder="1" applyAlignment="1">
      <alignment horizontal="left"/>
    </xf>
    <xf numFmtId="38" fontId="43" fillId="0" borderId="0" xfId="0" applyNumberFormat="1" applyFont="1" applyFill="1" applyBorder="1"/>
    <xf numFmtId="0" fontId="30" fillId="0" borderId="0" xfId="0" applyFont="1" applyFill="1"/>
    <xf numFmtId="38" fontId="44" fillId="0" borderId="0" xfId="0" applyNumberFormat="1" applyFont="1" applyFill="1" applyBorder="1"/>
    <xf numFmtId="0" fontId="31" fillId="0" borderId="0" xfId="0" applyFont="1" applyFill="1" applyAlignment="1">
      <alignment shrinkToFit="1"/>
    </xf>
    <xf numFmtId="0" fontId="30" fillId="0" borderId="0" xfId="0" applyFont="1" applyFill="1" applyAlignment="1">
      <alignment vertical="center" shrinkToFi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 shrinkToFi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Fill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0" fillId="0" borderId="32" xfId="0" applyFont="1" applyFill="1" applyBorder="1" applyAlignment="1">
      <alignment horizontal="centerContinuous"/>
    </xf>
    <xf numFmtId="0" fontId="30" fillId="0" borderId="33" xfId="0" applyFont="1" applyFill="1" applyBorder="1" applyAlignment="1">
      <alignment horizontal="centerContinuous"/>
    </xf>
    <xf numFmtId="0" fontId="30" fillId="0" borderId="36" xfId="0" applyFont="1" applyFill="1" applyBorder="1" applyAlignment="1">
      <alignment horizontal="center"/>
    </xf>
    <xf numFmtId="0" fontId="30" fillId="0" borderId="37" xfId="0" applyFont="1" applyFill="1" applyBorder="1" applyAlignment="1">
      <alignment vertical="center"/>
    </xf>
    <xf numFmtId="0" fontId="30" fillId="0" borderId="34" xfId="0" applyFont="1" applyFill="1" applyBorder="1"/>
    <xf numFmtId="0" fontId="30" fillId="0" borderId="27" xfId="0" applyFont="1" applyFill="1" applyBorder="1" applyAlignment="1">
      <alignment horizontal="center" vertical="center" justifyLastLine="1"/>
    </xf>
    <xf numFmtId="0" fontId="30" fillId="0" borderId="34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distributed" vertical="center" justifyLastLine="1"/>
    </xf>
    <xf numFmtId="0" fontId="30" fillId="0" borderId="21" xfId="0" applyFont="1" applyFill="1" applyBorder="1" applyAlignment="1">
      <alignment horizontal="center" vertical="center"/>
    </xf>
    <xf numFmtId="0" fontId="30" fillId="0" borderId="93" xfId="0" applyFont="1" applyFill="1" applyBorder="1"/>
    <xf numFmtId="0" fontId="30" fillId="0" borderId="43" xfId="0" applyFont="1" applyFill="1" applyBorder="1" applyAlignment="1">
      <alignment horizontal="distributed" vertical="center"/>
    </xf>
    <xf numFmtId="0" fontId="30" fillId="0" borderId="19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0" fontId="30" fillId="0" borderId="40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distributed" vertical="center" justifyLastLine="1"/>
    </xf>
    <xf numFmtId="0" fontId="30" fillId="0" borderId="0" xfId="0" applyFont="1" applyFill="1" applyAlignment="1">
      <alignment horizontal="center"/>
    </xf>
    <xf numFmtId="0" fontId="30" fillId="0" borderId="27" xfId="0" applyFont="1" applyFill="1" applyBorder="1" applyAlignment="1">
      <alignment horizontal="centerContinuous" vertical="center"/>
    </xf>
    <xf numFmtId="0" fontId="30" fillId="0" borderId="29" xfId="0" applyFont="1" applyFill="1" applyBorder="1" applyAlignment="1">
      <alignment horizontal="centerContinuous" vertical="center"/>
    </xf>
    <xf numFmtId="2" fontId="30" fillId="0" borderId="27" xfId="0" applyNumberFormat="1" applyFont="1" applyFill="1" applyBorder="1" applyAlignment="1">
      <alignment horizontal="centerContinuous" vertical="center"/>
    </xf>
    <xf numFmtId="38" fontId="30" fillId="0" borderId="32" xfId="20" applyFont="1" applyFill="1" applyBorder="1" applyAlignment="1">
      <alignment horizontal="centerContinuous"/>
    </xf>
    <xf numFmtId="38" fontId="30" fillId="0" borderId="41" xfId="20" applyFont="1" applyFill="1" applyBorder="1" applyAlignment="1">
      <alignment horizontal="centerContinuous"/>
    </xf>
    <xf numFmtId="38" fontId="30" fillId="0" borderId="74" xfId="20" applyFont="1" applyFill="1" applyBorder="1" applyAlignment="1">
      <alignment horizontal="left"/>
    </xf>
    <xf numFmtId="38" fontId="30" fillId="0" borderId="36" xfId="20" applyFont="1" applyFill="1" applyBorder="1" applyAlignment="1">
      <alignment horizontal="center" vertical="center"/>
    </xf>
    <xf numFmtId="38" fontId="30" fillId="0" borderId="26" xfId="20" applyFont="1" applyFill="1" applyBorder="1" applyAlignment="1">
      <alignment horizontal="center" vertical="center"/>
    </xf>
    <xf numFmtId="38" fontId="30" fillId="0" borderId="28" xfId="20" applyFont="1" applyFill="1" applyBorder="1" applyAlignment="1">
      <alignment horizontal="centerContinuous" vertical="center"/>
    </xf>
    <xf numFmtId="38" fontId="30" fillId="0" borderId="26" xfId="20" applyFont="1" applyFill="1" applyBorder="1" applyAlignment="1">
      <alignment horizontal="centerContinuous" vertical="center"/>
    </xf>
    <xf numFmtId="0" fontId="30" fillId="0" borderId="37" xfId="0" applyFont="1" applyFill="1" applyBorder="1" applyAlignment="1">
      <alignment horizontal="center" vertical="center"/>
    </xf>
    <xf numFmtId="38" fontId="30" fillId="0" borderId="28" xfId="2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/>
    </xf>
    <xf numFmtId="0" fontId="30" fillId="0" borderId="32" xfId="0" applyFont="1" applyFill="1" applyBorder="1" applyAlignment="1">
      <alignment horizontal="centerContinuous" vertical="center"/>
    </xf>
    <xf numFmtId="0" fontId="30" fillId="0" borderId="33" xfId="0" applyFont="1" applyFill="1" applyBorder="1" applyAlignment="1">
      <alignment horizontal="centerContinuous" vertical="center"/>
    </xf>
    <xf numFmtId="0" fontId="30" fillId="0" borderId="34" xfId="0" applyFont="1" applyFill="1" applyBorder="1" applyAlignment="1">
      <alignment horizontal="center" vertical="top"/>
    </xf>
    <xf numFmtId="0" fontId="30" fillId="0" borderId="21" xfId="0" applyFont="1" applyFill="1" applyBorder="1" applyAlignment="1">
      <alignment horizontal="center" vertical="top"/>
    </xf>
    <xf numFmtId="0" fontId="30" fillId="0" borderId="28" xfId="0" applyFont="1" applyFill="1" applyBorder="1" applyAlignment="1">
      <alignment horizontal="left"/>
    </xf>
    <xf numFmtId="0" fontId="30" fillId="0" borderId="29" xfId="0" applyFont="1" applyFill="1" applyBorder="1" applyAlignment="1">
      <alignment horizontal="left"/>
    </xf>
    <xf numFmtId="0" fontId="30" fillId="0" borderId="19" xfId="0" applyFont="1" applyFill="1" applyBorder="1" applyAlignment="1">
      <alignment horizontal="center" vertical="center"/>
    </xf>
    <xf numFmtId="0" fontId="30" fillId="0" borderId="27" xfId="8" applyFont="1" applyBorder="1" applyAlignment="1">
      <alignment horizontal="center" vertical="center"/>
    </xf>
    <xf numFmtId="0" fontId="30" fillId="0" borderId="27" xfId="8" applyFont="1" applyBorder="1" applyAlignment="1">
      <alignment horizontal="center" vertical="center" wrapText="1"/>
    </xf>
    <xf numFmtId="0" fontId="30" fillId="0" borderId="27" xfId="8" applyFont="1" applyBorder="1" applyAlignment="1">
      <alignment horizontal="distributed" vertical="center"/>
    </xf>
    <xf numFmtId="0" fontId="31" fillId="0" borderId="0" xfId="21" applyFont="1" applyAlignment="1">
      <alignment horizontal="right"/>
    </xf>
    <xf numFmtId="0" fontId="31" fillId="0" borderId="2" xfId="0" applyFont="1" applyBorder="1" applyAlignment="1">
      <alignment horizontal="left" vertical="center"/>
    </xf>
    <xf numFmtId="0" fontId="40" fillId="0" borderId="0" xfId="0" applyFont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0" xfId="0" applyFont="1" applyBorder="1" applyAlignment="1">
      <alignment vertical="top"/>
    </xf>
    <xf numFmtId="0" fontId="30" fillId="0" borderId="0" xfId="0" applyFont="1" applyBorder="1" applyAlignment="1">
      <alignment horizontal="left" vertical="top"/>
    </xf>
    <xf numFmtId="179" fontId="12" fillId="0" borderId="0" xfId="0" applyNumberFormat="1" applyFont="1" applyAlignment="1">
      <alignment vertical="center"/>
    </xf>
    <xf numFmtId="0" fontId="31" fillId="0" borderId="26" xfId="0" applyFont="1" applyBorder="1" applyAlignment="1">
      <alignment vertical="center"/>
    </xf>
    <xf numFmtId="0" fontId="30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Continuous" vertical="top"/>
    </xf>
    <xf numFmtId="0" fontId="30" fillId="0" borderId="35" xfId="0" applyFont="1" applyBorder="1" applyAlignment="1">
      <alignment horizontal="center" vertical="top"/>
    </xf>
    <xf numFmtId="0" fontId="30" fillId="0" borderId="26" xfId="0" applyFont="1" applyBorder="1" applyAlignment="1">
      <alignment horizontal="centerContinuous" vertical="top"/>
    </xf>
    <xf numFmtId="0" fontId="30" fillId="0" borderId="37" xfId="0" applyFont="1" applyBorder="1" applyAlignment="1">
      <alignment horizontal="center" vertical="top"/>
    </xf>
    <xf numFmtId="0" fontId="30" fillId="10" borderId="0" xfId="0" applyFont="1" applyFill="1" applyBorder="1" applyAlignment="1">
      <alignment horizontal="centerContinuous" vertical="top"/>
    </xf>
    <xf numFmtId="0" fontId="30" fillId="10" borderId="35" xfId="0" applyFont="1" applyFill="1" applyBorder="1" applyAlignment="1">
      <alignment horizontal="centerContinuous" vertical="top"/>
    </xf>
    <xf numFmtId="1" fontId="30" fillId="10" borderId="35" xfId="0" applyNumberFormat="1" applyFont="1" applyFill="1" applyBorder="1" applyAlignment="1">
      <alignment horizontal="center" vertical="top"/>
    </xf>
    <xf numFmtId="0" fontId="30" fillId="10" borderId="34" xfId="0" applyFont="1" applyFill="1" applyBorder="1" applyAlignment="1">
      <alignment horizontal="center" vertical="center"/>
    </xf>
    <xf numFmtId="0" fontId="31" fillId="10" borderId="35" xfId="0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Continuous" vertical="center"/>
    </xf>
    <xf numFmtId="0" fontId="30" fillId="10" borderId="0" xfId="0" applyFont="1" applyFill="1" applyBorder="1" applyAlignment="1">
      <alignment horizontal="center" vertical="center"/>
    </xf>
    <xf numFmtId="0" fontId="30" fillId="0" borderId="35" xfId="0" applyFont="1" applyBorder="1" applyAlignment="1">
      <alignment horizontal="centerContinuous" wrapText="1"/>
    </xf>
    <xf numFmtId="0" fontId="30" fillId="0" borderId="0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 wrapText="1"/>
    </xf>
    <xf numFmtId="0" fontId="30" fillId="0" borderId="37" xfId="0" applyFont="1" applyBorder="1" applyAlignment="1">
      <alignment horizontal="centerContinuous" vertical="top" wrapText="1"/>
    </xf>
    <xf numFmtId="0" fontId="30" fillId="0" borderId="20" xfId="0" applyFont="1" applyBorder="1" applyAlignment="1">
      <alignment horizontal="center" vertical="top"/>
    </xf>
    <xf numFmtId="0" fontId="30" fillId="0" borderId="33" xfId="0" applyFont="1" applyBorder="1" applyAlignment="1">
      <alignment horizontal="center"/>
    </xf>
    <xf numFmtId="0" fontId="30" fillId="0" borderId="35" xfId="0" applyFont="1" applyBorder="1" applyAlignment="1">
      <alignment horizontal="center" vertical="distributed" wrapText="1"/>
    </xf>
    <xf numFmtId="0" fontId="30" fillId="10" borderId="34" xfId="0" applyFont="1" applyFill="1" applyBorder="1" applyAlignment="1">
      <alignment horizontal="center" vertical="top"/>
    </xf>
    <xf numFmtId="0" fontId="31" fillId="10" borderId="0" xfId="0" applyFont="1" applyFill="1" applyBorder="1" applyAlignment="1">
      <alignment horizontal="center" vertical="top"/>
    </xf>
    <xf numFmtId="0" fontId="31" fillId="10" borderId="35" xfId="0" applyFont="1" applyFill="1" applyBorder="1" applyAlignment="1">
      <alignment horizontal="center" vertical="top"/>
    </xf>
    <xf numFmtId="1" fontId="56" fillId="10" borderId="41" xfId="0" applyNumberFormat="1" applyFont="1" applyFill="1" applyBorder="1" applyAlignment="1">
      <alignment horizontal="centerContinuous" vertical="center"/>
    </xf>
    <xf numFmtId="0" fontId="31" fillId="1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distributed" wrapText="1"/>
    </xf>
    <xf numFmtId="0" fontId="30" fillId="0" borderId="36" xfId="0" applyFont="1" applyBorder="1" applyAlignment="1">
      <alignment horizontal="right"/>
    </xf>
    <xf numFmtId="0" fontId="43" fillId="0" borderId="27" xfId="0" applyFont="1" applyBorder="1" applyAlignment="1">
      <alignment horizontal="center" vertical="center" wrapText="1"/>
    </xf>
    <xf numFmtId="1" fontId="30" fillId="0" borderId="37" xfId="0" applyNumberFormat="1" applyFont="1" applyBorder="1" applyAlignment="1">
      <alignment horizontal="center" vertical="center"/>
    </xf>
    <xf numFmtId="0" fontId="30" fillId="0" borderId="28" xfId="0" applyFont="1" applyFill="1" applyBorder="1" applyAlignment="1">
      <alignment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43" fillId="0" borderId="115" xfId="0" applyFont="1" applyFill="1" applyBorder="1" applyAlignment="1">
      <alignment horizontal="right" vertical="top"/>
    </xf>
    <xf numFmtId="0" fontId="52" fillId="0" borderId="68" xfId="0" applyFont="1" applyFill="1" applyBorder="1" applyAlignment="1">
      <alignment horizontal="right" vertical="top"/>
    </xf>
    <xf numFmtId="0" fontId="52" fillId="0" borderId="37" xfId="0" applyFont="1" applyFill="1" applyBorder="1" applyAlignment="1">
      <alignment horizontal="right" vertical="top"/>
    </xf>
    <xf numFmtId="0" fontId="30" fillId="0" borderId="0" xfId="0" applyFont="1" applyFill="1" applyAlignment="1">
      <alignment shrinkToFit="1"/>
    </xf>
    <xf numFmtId="179" fontId="30" fillId="0" borderId="0" xfId="0" applyNumberFormat="1" applyFont="1" applyFill="1"/>
    <xf numFmtId="38" fontId="12" fillId="0" borderId="27" xfId="8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0" fillId="0" borderId="12" xfId="0" applyFont="1" applyBorder="1" applyAlignment="1">
      <alignment horizontal="center" vertical="center"/>
    </xf>
    <xf numFmtId="0" fontId="34" fillId="0" borderId="0" xfId="0" applyFont="1" applyBorder="1"/>
    <xf numFmtId="0" fontId="43" fillId="0" borderId="0" xfId="0" applyFont="1" applyBorder="1" applyAlignment="1">
      <alignment horizontal="right"/>
    </xf>
    <xf numFmtId="0" fontId="30" fillId="0" borderId="12" xfId="0" applyFont="1" applyBorder="1" applyAlignment="1">
      <alignment horizontal="center"/>
    </xf>
    <xf numFmtId="0" fontId="30" fillId="0" borderId="3" xfId="0" applyFont="1" applyBorder="1"/>
    <xf numFmtId="0" fontId="31" fillId="0" borderId="12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2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16" fillId="0" borderId="0" xfId="0" applyFont="1" applyBorder="1"/>
    <xf numFmtId="0" fontId="30" fillId="0" borderId="0" xfId="0" applyFont="1" applyBorder="1" applyAlignment="1">
      <alignment horizontal="center"/>
    </xf>
    <xf numFmtId="0" fontId="31" fillId="0" borderId="0" xfId="0" applyFont="1" applyAlignment="1">
      <alignment vertical="center"/>
    </xf>
    <xf numFmtId="38" fontId="20" fillId="10" borderId="0" xfId="0" applyNumberFormat="1" applyFont="1" applyFill="1" applyBorder="1" applyAlignment="1">
      <alignment vertical="center"/>
    </xf>
    <xf numFmtId="38" fontId="20" fillId="10" borderId="34" xfId="20" applyFont="1" applyFill="1" applyBorder="1" applyAlignment="1">
      <alignment vertical="center"/>
    </xf>
    <xf numFmtId="38" fontId="20" fillId="10" borderId="0" xfId="20" applyFont="1" applyFill="1" applyBorder="1" applyAlignment="1">
      <alignment vertical="center"/>
    </xf>
    <xf numFmtId="0" fontId="30" fillId="0" borderId="0" xfId="0" applyFont="1" applyBorder="1" applyAlignment="1">
      <alignment horizontal="center"/>
    </xf>
    <xf numFmtId="0" fontId="30" fillId="0" borderId="35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34" xfId="0" applyFont="1" applyBorder="1" applyAlignment="1">
      <alignment horizontal="distributed" vertical="center" wrapText="1" justifyLastLine="1"/>
    </xf>
    <xf numFmtId="0" fontId="30" fillId="0" borderId="0" xfId="0" applyFont="1" applyBorder="1" applyAlignment="1">
      <alignment horizontal="distributed" vertical="center" wrapText="1" justifyLastLine="1"/>
    </xf>
    <xf numFmtId="0" fontId="30" fillId="0" borderId="0" xfId="0" applyFont="1" applyBorder="1" applyAlignment="1">
      <alignment horizontal="centerContinuous" vertical="center" wrapText="1"/>
    </xf>
    <xf numFmtId="0" fontId="30" fillId="0" borderId="34" xfId="0" applyFont="1" applyBorder="1" applyAlignment="1">
      <alignment horizontal="right"/>
    </xf>
    <xf numFmtId="0" fontId="43" fillId="0" borderId="0" xfId="0" applyFont="1" applyBorder="1" applyAlignment="1">
      <alignment horizontal="center" vertical="center" wrapText="1"/>
    </xf>
    <xf numFmtId="0" fontId="21" fillId="10" borderId="0" xfId="0" applyFont="1" applyFill="1" applyBorder="1" applyAlignment="1">
      <alignment horizontal="center" vertical="center" wrapText="1"/>
    </xf>
    <xf numFmtId="176" fontId="20" fillId="0" borderId="0" xfId="20" applyNumberFormat="1" applyFont="1" applyBorder="1" applyAlignment="1">
      <alignment vertical="center"/>
    </xf>
    <xf numFmtId="176" fontId="20" fillId="10" borderId="0" xfId="2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30" fillId="0" borderId="93" xfId="0" applyFont="1" applyBorder="1" applyAlignment="1">
      <alignment vertical="center"/>
    </xf>
    <xf numFmtId="0" fontId="30" fillId="10" borderId="34" xfId="0" applyFont="1" applyFill="1" applyBorder="1" applyAlignment="1">
      <alignment horizontal="centerContinuous" vertical="top"/>
    </xf>
    <xf numFmtId="0" fontId="21" fillId="10" borderId="21" xfId="0" applyFont="1" applyFill="1" applyBorder="1" applyAlignment="1">
      <alignment horizontal="center" vertical="center" wrapText="1"/>
    </xf>
    <xf numFmtId="0" fontId="21" fillId="10" borderId="106" xfId="0" applyFont="1" applyFill="1" applyBorder="1" applyAlignment="1">
      <alignment horizontal="center" vertical="center" wrapText="1"/>
    </xf>
    <xf numFmtId="0" fontId="30" fillId="10" borderId="113" xfId="0" applyFont="1" applyFill="1" applyBorder="1" applyAlignment="1">
      <alignment horizontal="centerContinuous" vertical="top"/>
    </xf>
    <xf numFmtId="0" fontId="30" fillId="10" borderId="104" xfId="0" applyFont="1" applyFill="1" applyBorder="1" applyAlignment="1">
      <alignment horizontal="centerContinuous" vertical="top"/>
    </xf>
    <xf numFmtId="0" fontId="30" fillId="10" borderId="105" xfId="0" applyFont="1" applyFill="1" applyBorder="1" applyAlignment="1">
      <alignment horizontal="centerContinuous" vertical="top"/>
    </xf>
    <xf numFmtId="1" fontId="30" fillId="10" borderId="105" xfId="0" applyNumberFormat="1" applyFont="1" applyFill="1" applyBorder="1" applyAlignment="1">
      <alignment horizontal="center" vertical="top"/>
    </xf>
    <xf numFmtId="0" fontId="12" fillId="10" borderId="105" xfId="0" applyFont="1" applyFill="1" applyBorder="1" applyAlignment="1">
      <alignment horizontal="center" vertical="top"/>
    </xf>
    <xf numFmtId="38" fontId="22" fillId="0" borderId="0" xfId="0" applyNumberFormat="1" applyFont="1" applyBorder="1" applyAlignment="1">
      <alignment vertical="center"/>
    </xf>
    <xf numFmtId="38" fontId="22" fillId="10" borderId="0" xfId="0" applyNumberFormat="1" applyFont="1" applyFill="1" applyBorder="1" applyAlignment="1">
      <alignment vertical="center"/>
    </xf>
    <xf numFmtId="0" fontId="21" fillId="0" borderId="32" xfId="0" applyFont="1" applyFill="1" applyBorder="1" applyAlignment="1">
      <alignment horizontal="right" vertical="top"/>
    </xf>
    <xf numFmtId="0" fontId="21" fillId="0" borderId="33" xfId="0" applyFont="1" applyFill="1" applyBorder="1" applyAlignment="1">
      <alignment horizontal="right" vertical="top"/>
    </xf>
    <xf numFmtId="0" fontId="0" fillId="11" borderId="0" xfId="0" applyFont="1" applyFill="1"/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top"/>
    </xf>
    <xf numFmtId="0" fontId="30" fillId="0" borderId="151" xfId="0" applyFont="1" applyBorder="1" applyAlignment="1">
      <alignment horizontal="center"/>
    </xf>
    <xf numFmtId="0" fontId="30" fillId="0" borderId="152" xfId="0" applyFont="1" applyBorder="1"/>
    <xf numFmtId="0" fontId="30" fillId="0" borderId="153" xfId="0" applyFont="1" applyBorder="1" applyAlignment="1">
      <alignment horizontal="center" vertical="top"/>
    </xf>
    <xf numFmtId="38" fontId="12" fillId="0" borderId="27" xfId="23" applyFont="1" applyFill="1" applyBorder="1" applyAlignment="1">
      <alignment horizontal="right" vertical="center"/>
    </xf>
    <xf numFmtId="0" fontId="30" fillId="0" borderId="27" xfId="8" applyFont="1" applyBorder="1" applyAlignment="1">
      <alignment horizontal="center" vertical="center"/>
    </xf>
    <xf numFmtId="14" fontId="0" fillId="0" borderId="0" xfId="0" applyNumberFormat="1"/>
    <xf numFmtId="0" fontId="30" fillId="0" borderId="0" xfId="21" applyFont="1" applyFill="1" applyAlignment="1">
      <alignment horizontal="left" vertical="center"/>
    </xf>
    <xf numFmtId="0" fontId="31" fillId="0" borderId="0" xfId="21" applyFont="1" applyAlignment="1">
      <alignment vertical="top"/>
    </xf>
    <xf numFmtId="0" fontId="31" fillId="0" borderId="0" xfId="0" applyFont="1" applyAlignment="1">
      <alignment vertical="top"/>
    </xf>
    <xf numFmtId="3" fontId="31" fillId="0" borderId="0" xfId="0" applyNumberFormat="1" applyFont="1" applyBorder="1" applyAlignment="1">
      <alignment vertical="top"/>
    </xf>
    <xf numFmtId="0" fontId="30" fillId="0" borderId="0" xfId="0" applyFont="1" applyBorder="1" applyAlignment="1"/>
    <xf numFmtId="0" fontId="30" fillId="0" borderId="0" xfId="0" applyFont="1" applyAlignment="1"/>
    <xf numFmtId="0" fontId="30" fillId="0" borderId="4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top"/>
    </xf>
    <xf numFmtId="0" fontId="30" fillId="0" borderId="15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right" vertical="top"/>
    </xf>
    <xf numFmtId="0" fontId="30" fillId="0" borderId="34" xfId="0" applyFont="1" applyFill="1" applyBorder="1" applyAlignment="1">
      <alignment horizontal="centerContinuous"/>
    </xf>
    <xf numFmtId="0" fontId="30" fillId="0" borderId="35" xfId="0" applyFont="1" applyFill="1" applyBorder="1" applyAlignment="1">
      <alignment horizontal="centerContinuous"/>
    </xf>
    <xf numFmtId="0" fontId="30" fillId="0" borderId="28" xfId="25" applyFont="1" applyFill="1" applyBorder="1" applyAlignment="1">
      <alignment horizontal="left" vertical="center"/>
    </xf>
    <xf numFmtId="0" fontId="30" fillId="0" borderId="74" xfId="25" applyFont="1" applyFill="1" applyBorder="1" applyAlignment="1">
      <alignment horizontal="left" vertical="center"/>
    </xf>
    <xf numFmtId="0" fontId="30" fillId="0" borderId="74" xfId="0" applyFont="1" applyFill="1" applyBorder="1" applyAlignment="1">
      <alignment horizontal="left" vertical="center"/>
    </xf>
    <xf numFmtId="0" fontId="30" fillId="0" borderId="29" xfId="0" applyFont="1" applyFill="1" applyBorder="1" applyAlignment="1">
      <alignment horizontal="left" vertical="center"/>
    </xf>
    <xf numFmtId="0" fontId="30" fillId="0" borderId="35" xfId="0" applyFont="1" applyFill="1" applyBorder="1" applyAlignment="1">
      <alignment horizontal="center"/>
    </xf>
    <xf numFmtId="0" fontId="30" fillId="0" borderId="134" xfId="25" applyFont="1" applyFill="1" applyBorder="1" applyAlignment="1">
      <alignment horizontal="center" vertical="top"/>
    </xf>
    <xf numFmtId="0" fontId="30" fillId="0" borderId="133" xfId="25" applyFont="1" applyFill="1" applyBorder="1" applyAlignment="1">
      <alignment horizontal="center" vertical="top"/>
    </xf>
    <xf numFmtId="0" fontId="30" fillId="0" borderId="133" xfId="0" applyFont="1" applyFill="1" applyBorder="1" applyAlignment="1">
      <alignment horizontal="center" vertical="center"/>
    </xf>
    <xf numFmtId="0" fontId="30" fillId="0" borderId="132" xfId="0" applyFont="1" applyFill="1" applyBorder="1" applyAlignment="1">
      <alignment horizontal="center" vertical="center"/>
    </xf>
    <xf numFmtId="0" fontId="30" fillId="0" borderId="128" xfId="25" applyFont="1" applyFill="1" applyBorder="1" applyAlignment="1">
      <alignment horizontal="center" vertical="top"/>
    </xf>
    <xf numFmtId="0" fontId="30" fillId="0" borderId="130" xfId="25" applyFont="1" applyFill="1" applyBorder="1" applyAlignment="1">
      <alignment horizontal="center" vertical="top"/>
    </xf>
    <xf numFmtId="0" fontId="30" fillId="0" borderId="130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Continuous" vertical="top"/>
    </xf>
    <xf numFmtId="0" fontId="30" fillId="0" borderId="35" xfId="0" applyFont="1" applyFill="1" applyBorder="1" applyAlignment="1">
      <alignment horizontal="centerContinuous" vertical="top"/>
    </xf>
    <xf numFmtId="0" fontId="30" fillId="0" borderId="128" xfId="25" applyFont="1" applyFill="1" applyBorder="1" applyAlignment="1">
      <alignment horizontal="center" vertical="center"/>
    </xf>
    <xf numFmtId="0" fontId="30" fillId="0" borderId="130" xfId="25" applyFont="1" applyFill="1" applyBorder="1" applyAlignment="1">
      <alignment horizontal="center" vertical="center"/>
    </xf>
    <xf numFmtId="0" fontId="30" fillId="0" borderId="58" xfId="25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/>
    </xf>
    <xf numFmtId="0" fontId="30" fillId="0" borderId="125" xfId="25" applyFont="1" applyFill="1" applyBorder="1" applyAlignment="1">
      <alignment horizontal="center" vertical="center"/>
    </xf>
    <xf numFmtId="0" fontId="30" fillId="0" borderId="129" xfId="25" applyFont="1" applyFill="1" applyBorder="1" applyAlignment="1">
      <alignment horizontal="center" vertical="center"/>
    </xf>
    <xf numFmtId="0" fontId="30" fillId="0" borderId="66" xfId="25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shrinkToFit="1"/>
    </xf>
    <xf numFmtId="0" fontId="30" fillId="0" borderId="128" xfId="25" applyFont="1" applyFill="1" applyBorder="1" applyAlignment="1">
      <alignment horizontal="left" vertical="top"/>
    </xf>
    <xf numFmtId="0" fontId="30" fillId="0" borderId="130" xfId="25" applyFont="1" applyFill="1" applyBorder="1" applyAlignment="1">
      <alignment horizontal="left" vertical="top"/>
    </xf>
    <xf numFmtId="0" fontId="30" fillId="0" borderId="130" xfId="0" applyFont="1" applyFill="1" applyBorder="1" applyAlignment="1">
      <alignment horizontal="centerContinuous" vertical="center"/>
    </xf>
    <xf numFmtId="0" fontId="30" fillId="0" borderId="58" xfId="0" applyFont="1" applyFill="1" applyBorder="1" applyAlignment="1">
      <alignment horizontal="centerContinuous" vertical="center"/>
    </xf>
    <xf numFmtId="0" fontId="30" fillId="0" borderId="37" xfId="0" applyFont="1" applyFill="1" applyBorder="1" applyAlignment="1">
      <alignment vertical="center" shrinkToFit="1"/>
    </xf>
    <xf numFmtId="0" fontId="21" fillId="0" borderId="4" xfId="0" applyFont="1" applyBorder="1" applyAlignment="1">
      <alignment horizontal="right" vertical="top"/>
    </xf>
    <xf numFmtId="0" fontId="21" fillId="0" borderId="11" xfId="0" applyFont="1" applyBorder="1" applyAlignment="1">
      <alignment horizontal="right" vertical="top"/>
    </xf>
    <xf numFmtId="0" fontId="21" fillId="0" borderId="44" xfId="0" applyFont="1" applyBorder="1" applyAlignment="1">
      <alignment horizontal="right" vertical="top"/>
    </xf>
    <xf numFmtId="0" fontId="21" fillId="0" borderId="11" xfId="0" applyFont="1" applyBorder="1" applyAlignment="1">
      <alignment horizontal="right" vertical="top" shrinkToFit="1"/>
    </xf>
    <xf numFmtId="1" fontId="30" fillId="0" borderId="36" xfId="0" applyNumberFormat="1" applyFont="1" applyBorder="1" applyAlignment="1">
      <alignment horizontal="center" vertical="center"/>
    </xf>
    <xf numFmtId="1" fontId="30" fillId="0" borderId="27" xfId="0" applyNumberFormat="1" applyFont="1" applyBorder="1" applyAlignment="1">
      <alignment horizontal="center" vertical="center"/>
    </xf>
    <xf numFmtId="0" fontId="30" fillId="0" borderId="25" xfId="0" applyFont="1" applyBorder="1" applyAlignment="1">
      <alignment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14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right" vertical="top"/>
    </xf>
    <xf numFmtId="0" fontId="17" fillId="0" borderId="15" xfId="0" applyFont="1" applyBorder="1" applyAlignment="1">
      <alignment horizontal="right" vertical="top"/>
    </xf>
    <xf numFmtId="0" fontId="17" fillId="0" borderId="10" xfId="0" applyFont="1" applyBorder="1" applyAlignment="1">
      <alignment horizontal="right" vertical="top"/>
    </xf>
    <xf numFmtId="0" fontId="30" fillId="0" borderId="136" xfId="0" applyFont="1" applyFill="1" applyBorder="1" applyAlignment="1">
      <alignment horizontal="distributed" vertical="center" indent="1" shrinkToFit="1"/>
    </xf>
    <xf numFmtId="0" fontId="30" fillId="0" borderId="67" xfId="0" applyFont="1" applyFill="1" applyBorder="1" applyAlignment="1">
      <alignment horizontal="distributed" vertical="center" wrapText="1" indent="1" shrinkToFit="1"/>
    </xf>
    <xf numFmtId="0" fontId="30" fillId="0" borderId="26" xfId="0" applyFont="1" applyFill="1" applyBorder="1" applyAlignment="1">
      <alignment horizontal="distributed" vertical="center" indent="1" shrinkToFit="1"/>
    </xf>
    <xf numFmtId="0" fontId="30" fillId="0" borderId="2" xfId="0" applyFont="1" applyBorder="1"/>
    <xf numFmtId="0" fontId="30" fillId="0" borderId="9" xfId="0" applyFont="1" applyBorder="1"/>
    <xf numFmtId="0" fontId="30" fillId="0" borderId="10" xfId="0" applyFont="1" applyBorder="1"/>
    <xf numFmtId="0" fontId="21" fillId="0" borderId="17" xfId="0" applyFont="1" applyBorder="1" applyAlignment="1">
      <alignment horizontal="right" vertical="top"/>
    </xf>
    <xf numFmtId="0" fontId="30" fillId="0" borderId="137" xfId="0" applyFont="1" applyBorder="1"/>
    <xf numFmtId="0" fontId="30" fillId="0" borderId="138" xfId="0" applyFont="1" applyBorder="1"/>
    <xf numFmtId="0" fontId="43" fillId="0" borderId="139" xfId="0" applyFont="1" applyBorder="1" applyAlignment="1">
      <alignment horizontal="right" vertical="center"/>
    </xf>
    <xf numFmtId="1" fontId="57" fillId="0" borderId="42" xfId="0" applyNumberFormat="1" applyFont="1" applyBorder="1" applyAlignment="1">
      <alignment horizontal="center" vertical="center"/>
    </xf>
    <xf numFmtId="1" fontId="57" fillId="0" borderId="139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distributed" vertical="center" justifyLastLine="1"/>
    </xf>
    <xf numFmtId="0" fontId="30" fillId="0" borderId="122" xfId="0" applyFont="1" applyBorder="1" applyAlignment="1">
      <alignment horizontal="distributed" vertical="center" justifyLastLine="1"/>
    </xf>
    <xf numFmtId="0" fontId="26" fillId="0" borderId="35" xfId="0" applyFont="1" applyBorder="1" applyAlignment="1">
      <alignment vertical="center"/>
    </xf>
    <xf numFmtId="38" fontId="21" fillId="0" borderId="53" xfId="20" applyFont="1" applyBorder="1" applyAlignment="1">
      <alignment horizontal="centerContinuous" vertical="center"/>
    </xf>
    <xf numFmtId="38" fontId="21" fillId="0" borderId="26" xfId="20" applyFont="1" applyBorder="1" applyAlignment="1">
      <alignment vertical="center"/>
    </xf>
    <xf numFmtId="38" fontId="21" fillId="0" borderId="53" xfId="20" applyFont="1" applyBorder="1" applyAlignment="1">
      <alignment vertical="center"/>
    </xf>
    <xf numFmtId="176" fontId="21" fillId="0" borderId="57" xfId="20" applyNumberFormat="1" applyFont="1" applyBorder="1" applyAlignment="1">
      <alignment horizontal="center" vertical="center"/>
    </xf>
    <xf numFmtId="176" fontId="21" fillId="0" borderId="37" xfId="20" applyNumberFormat="1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38" fontId="21" fillId="10" borderId="0" xfId="20" applyFont="1" applyFill="1" applyBorder="1" applyAlignment="1">
      <alignment vertical="center"/>
    </xf>
    <xf numFmtId="38" fontId="21" fillId="10" borderId="55" xfId="20" applyFont="1" applyFill="1" applyBorder="1" applyAlignment="1">
      <alignment horizontal="centerContinuous" vertical="center"/>
    </xf>
    <xf numFmtId="38" fontId="21" fillId="10" borderId="55" xfId="20" applyFont="1" applyFill="1" applyBorder="1" applyAlignment="1">
      <alignment vertical="center"/>
    </xf>
    <xf numFmtId="176" fontId="21" fillId="10" borderId="56" xfId="20" applyNumberFormat="1" applyFont="1" applyFill="1" applyBorder="1" applyAlignment="1">
      <alignment horizontal="center" vertical="center"/>
    </xf>
    <xf numFmtId="176" fontId="21" fillId="10" borderId="35" xfId="20" applyNumberFormat="1" applyFont="1" applyFill="1" applyBorder="1" applyAlignment="1">
      <alignment vertical="center"/>
    </xf>
    <xf numFmtId="0" fontId="26" fillId="10" borderId="35" xfId="0" applyFont="1" applyFill="1" applyBorder="1" applyAlignment="1">
      <alignment vertical="center"/>
    </xf>
    <xf numFmtId="176" fontId="21" fillId="0" borderId="58" xfId="20" applyNumberFormat="1" applyFont="1" applyBorder="1" applyAlignment="1">
      <alignment horizontal="center" vertical="center"/>
    </xf>
    <xf numFmtId="38" fontId="21" fillId="0" borderId="60" xfId="20" applyFont="1" applyBorder="1" applyAlignment="1">
      <alignment vertical="center"/>
    </xf>
    <xf numFmtId="38" fontId="21" fillId="0" borderId="62" xfId="20" applyFont="1" applyBorder="1" applyAlignment="1">
      <alignment horizontal="centerContinuous" vertical="center"/>
    </xf>
    <xf numFmtId="176" fontId="21" fillId="0" borderId="63" xfId="20" applyNumberFormat="1" applyFont="1" applyBorder="1" applyAlignment="1">
      <alignment horizontal="center" vertical="center"/>
    </xf>
    <xf numFmtId="38" fontId="21" fillId="0" borderId="62" xfId="20" applyFont="1" applyBorder="1" applyAlignment="1">
      <alignment horizontal="right" vertical="center"/>
    </xf>
    <xf numFmtId="176" fontId="21" fillId="0" borderId="61" xfId="20" applyNumberFormat="1" applyFont="1" applyBorder="1" applyAlignment="1">
      <alignment horizontal="center" vertical="center"/>
    </xf>
    <xf numFmtId="38" fontId="21" fillId="0" borderId="64" xfId="20" applyFont="1" applyBorder="1" applyAlignment="1">
      <alignment vertical="center"/>
    </xf>
    <xf numFmtId="38" fontId="21" fillId="0" borderId="62" xfId="20" applyFont="1" applyBorder="1" applyAlignment="1">
      <alignment vertical="center"/>
    </xf>
    <xf numFmtId="176" fontId="21" fillId="0" borderId="65" xfId="20" applyNumberFormat="1" applyFont="1" applyBorder="1" applyAlignment="1">
      <alignment horizontal="center" vertical="center"/>
    </xf>
    <xf numFmtId="176" fontId="21" fillId="0" borderId="61" xfId="20" applyNumberFormat="1" applyFont="1" applyBorder="1" applyAlignment="1">
      <alignment vertical="center"/>
    </xf>
    <xf numFmtId="38" fontId="21" fillId="0" borderId="60" xfId="20" applyFont="1" applyBorder="1" applyAlignment="1">
      <alignment horizontal="right" vertical="center"/>
    </xf>
    <xf numFmtId="0" fontId="23" fillId="0" borderId="62" xfId="0" applyFont="1" applyBorder="1" applyAlignment="1">
      <alignment horizontal="right" vertical="center"/>
    </xf>
    <xf numFmtId="0" fontId="26" fillId="0" borderId="61" xfId="0" applyFont="1" applyBorder="1" applyAlignment="1">
      <alignment vertical="center"/>
    </xf>
    <xf numFmtId="38" fontId="21" fillId="10" borderId="55" xfId="20" applyFont="1" applyFill="1" applyBorder="1" applyAlignment="1">
      <alignment horizontal="right" vertical="center"/>
    </xf>
    <xf numFmtId="176" fontId="21" fillId="10" borderId="58" xfId="20" applyNumberFormat="1" applyFont="1" applyFill="1" applyBorder="1" applyAlignment="1">
      <alignment horizontal="center" vertical="center"/>
    </xf>
    <xf numFmtId="38" fontId="21" fillId="0" borderId="0" xfId="20" applyFont="1" applyAlignment="1">
      <alignment horizontal="right" vertical="center"/>
    </xf>
    <xf numFmtId="176" fontId="21" fillId="0" borderId="66" xfId="20" applyNumberFormat="1" applyFont="1" applyBorder="1" applyAlignment="1">
      <alignment horizontal="center" vertical="center"/>
    </xf>
    <xf numFmtId="38" fontId="21" fillId="0" borderId="53" xfId="20" applyFont="1" applyBorder="1" applyAlignment="1">
      <alignment horizontal="right" vertical="center"/>
    </xf>
    <xf numFmtId="38" fontId="21" fillId="0" borderId="71" xfId="20" applyFont="1" applyBorder="1" applyAlignment="1">
      <alignment horizontal="centerContinuous" vertical="center"/>
    </xf>
    <xf numFmtId="176" fontId="21" fillId="0" borderId="72" xfId="20" applyNumberFormat="1" applyFont="1" applyBorder="1" applyAlignment="1">
      <alignment horizontal="center" vertical="center"/>
    </xf>
    <xf numFmtId="38" fontId="21" fillId="0" borderId="67" xfId="20" applyFont="1" applyBorder="1" applyAlignment="1">
      <alignment horizontal="right" vertical="center"/>
    </xf>
    <xf numFmtId="38" fontId="21" fillId="0" borderId="71" xfId="20" applyFont="1" applyBorder="1" applyAlignment="1">
      <alignment horizontal="right" vertical="center"/>
    </xf>
    <xf numFmtId="176" fontId="21" fillId="0" borderId="68" xfId="20" applyNumberFormat="1" applyFont="1" applyBorder="1" applyAlignment="1">
      <alignment horizontal="center" vertical="center"/>
    </xf>
    <xf numFmtId="38" fontId="21" fillId="0" borderId="71" xfId="20" applyFont="1" applyBorder="1" applyAlignment="1">
      <alignment vertical="center"/>
    </xf>
    <xf numFmtId="176" fontId="21" fillId="0" borderId="73" xfId="20" applyNumberFormat="1" applyFont="1" applyBorder="1" applyAlignment="1">
      <alignment horizontal="center" vertical="center"/>
    </xf>
    <xf numFmtId="176" fontId="21" fillId="0" borderId="68" xfId="20" applyNumberFormat="1" applyFont="1" applyBorder="1" applyAlignment="1">
      <alignment vertical="center"/>
    </xf>
    <xf numFmtId="0" fontId="23" fillId="0" borderId="71" xfId="0" applyFont="1" applyBorder="1" applyAlignment="1">
      <alignment horizontal="right" vertical="center"/>
    </xf>
    <xf numFmtId="2" fontId="21" fillId="0" borderId="67" xfId="20" applyNumberFormat="1" applyFont="1" applyBorder="1" applyAlignment="1">
      <alignment horizontal="center" vertical="center"/>
    </xf>
    <xf numFmtId="0" fontId="26" fillId="0" borderId="68" xfId="0" applyFont="1" applyBorder="1" applyAlignment="1">
      <alignment vertical="center"/>
    </xf>
    <xf numFmtId="38" fontId="21" fillId="0" borderId="36" xfId="20" applyFont="1" applyBorder="1" applyAlignment="1">
      <alignment horizontal="center" vertical="center"/>
    </xf>
    <xf numFmtId="176" fontId="21" fillId="0" borderId="35" xfId="20" applyNumberFormat="1" applyFont="1" applyFill="1" applyBorder="1" applyAlignment="1">
      <alignment horizontal="center" vertical="center"/>
    </xf>
    <xf numFmtId="38" fontId="21" fillId="0" borderId="34" xfId="20" applyFont="1" applyFill="1" applyBorder="1" applyAlignment="1">
      <alignment vertical="center"/>
    </xf>
    <xf numFmtId="176" fontId="21" fillId="0" borderId="58" xfId="20" applyNumberFormat="1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vertical="center"/>
    </xf>
    <xf numFmtId="38" fontId="21" fillId="0" borderId="55" xfId="20" applyFont="1" applyFill="1" applyBorder="1" applyAlignment="1">
      <alignment horizontal="centerContinuous" vertical="center"/>
    </xf>
    <xf numFmtId="38" fontId="21" fillId="0" borderId="53" xfId="20" applyFont="1" applyFill="1" applyBorder="1" applyAlignment="1">
      <alignment horizontal="centerContinuous" vertical="center"/>
    </xf>
    <xf numFmtId="176" fontId="21" fillId="0" borderId="37" xfId="20" applyNumberFormat="1" applyFont="1" applyFill="1" applyBorder="1" applyAlignment="1">
      <alignment horizontal="center" vertical="center"/>
    </xf>
    <xf numFmtId="38" fontId="21" fillId="0" borderId="53" xfId="20" applyFont="1" applyFill="1" applyBorder="1" applyAlignment="1">
      <alignment horizontal="right" vertical="center"/>
    </xf>
    <xf numFmtId="38" fontId="21" fillId="0" borderId="53" xfId="20" applyFont="1" applyFill="1" applyBorder="1" applyAlignment="1">
      <alignment vertical="center"/>
    </xf>
    <xf numFmtId="38" fontId="21" fillId="0" borderId="36" xfId="20" applyFont="1" applyFill="1" applyBorder="1" applyAlignment="1">
      <alignment horizontal="center" vertical="center"/>
    </xf>
    <xf numFmtId="38" fontId="21" fillId="0" borderId="26" xfId="20" applyFont="1" applyFill="1" applyBorder="1" applyAlignment="1">
      <alignment vertical="center"/>
    </xf>
    <xf numFmtId="176" fontId="21" fillId="0" borderId="57" xfId="20" applyNumberFormat="1" applyFont="1" applyFill="1" applyBorder="1" applyAlignment="1">
      <alignment horizontal="center" vertical="center"/>
    </xf>
    <xf numFmtId="176" fontId="21" fillId="0" borderId="37" xfId="20" applyNumberFormat="1" applyFont="1" applyFill="1" applyBorder="1" applyAlignment="1">
      <alignment vertical="center"/>
    </xf>
    <xf numFmtId="0" fontId="23" fillId="0" borderId="53" xfId="0" applyFont="1" applyFill="1" applyBorder="1" applyAlignment="1">
      <alignment horizontal="right" vertical="center"/>
    </xf>
    <xf numFmtId="176" fontId="21" fillId="0" borderId="66" xfId="20" applyNumberFormat="1" applyFont="1" applyFill="1" applyBorder="1" applyAlignment="1">
      <alignment horizontal="center" vertical="center"/>
    </xf>
    <xf numFmtId="2" fontId="21" fillId="0" borderId="26" xfId="20" applyNumberFormat="1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vertical="center"/>
    </xf>
    <xf numFmtId="178" fontId="21" fillId="0" borderId="34" xfId="20" applyNumberFormat="1" applyFont="1" applyBorder="1" applyAlignment="1">
      <alignment vertical="center"/>
    </xf>
    <xf numFmtId="178" fontId="21" fillId="0" borderId="32" xfId="20" applyNumberFormat="1" applyFont="1" applyBorder="1" applyAlignment="1">
      <alignment vertical="center"/>
    </xf>
    <xf numFmtId="178" fontId="21" fillId="0" borderId="64" xfId="20" applyNumberFormat="1" applyFont="1" applyBorder="1" applyAlignment="1">
      <alignment vertical="center"/>
    </xf>
    <xf numFmtId="178" fontId="21" fillId="0" borderId="75" xfId="20" applyNumberFormat="1" applyFont="1" applyBorder="1" applyAlignment="1">
      <alignment vertical="center"/>
    </xf>
    <xf numFmtId="38" fontId="21" fillId="0" borderId="76" xfId="20" applyFont="1" applyBorder="1" applyAlignment="1">
      <alignment horizontal="right" vertical="center"/>
    </xf>
    <xf numFmtId="178" fontId="21" fillId="0" borderId="36" xfId="20" applyNumberFormat="1" applyFont="1" applyBorder="1" applyAlignment="1">
      <alignment vertical="center"/>
    </xf>
    <xf numFmtId="38" fontId="21" fillId="0" borderId="32" xfId="20" applyFont="1" applyFill="1" applyBorder="1" applyAlignment="1">
      <alignment vertical="center"/>
    </xf>
    <xf numFmtId="38" fontId="21" fillId="0" borderId="78" xfId="20" applyFont="1" applyFill="1" applyBorder="1" applyAlignment="1">
      <alignment horizontal="right" vertical="center"/>
    </xf>
    <xf numFmtId="38" fontId="21" fillId="0" borderId="33" xfId="20" applyFont="1" applyFill="1" applyBorder="1" applyAlignment="1">
      <alignment horizontal="right" vertical="center"/>
    </xf>
    <xf numFmtId="38" fontId="21" fillId="0" borderId="41" xfId="20" applyFont="1" applyFill="1" applyBorder="1" applyAlignment="1">
      <alignment horizontal="right" vertical="center"/>
    </xf>
    <xf numFmtId="178" fontId="21" fillId="0" borderId="36" xfId="20" applyNumberFormat="1" applyFont="1" applyFill="1" applyBorder="1" applyAlignment="1">
      <alignment vertical="center"/>
    </xf>
    <xf numFmtId="180" fontId="21" fillId="0" borderId="74" xfId="20" applyNumberFormat="1" applyFont="1" applyFill="1" applyBorder="1" applyAlignment="1">
      <alignment horizontal="right" vertical="center"/>
    </xf>
    <xf numFmtId="180" fontId="21" fillId="0" borderId="94" xfId="20" applyNumberFormat="1" applyFont="1" applyFill="1" applyBorder="1" applyAlignment="1">
      <alignment horizontal="right" vertical="center"/>
    </xf>
    <xf numFmtId="180" fontId="21" fillId="0" borderId="96" xfId="20" applyNumberFormat="1" applyFont="1" applyFill="1" applyBorder="1" applyAlignment="1">
      <alignment horizontal="right" vertical="center"/>
    </xf>
    <xf numFmtId="180" fontId="21" fillId="0" borderId="26" xfId="20" applyNumberFormat="1" applyFont="1" applyFill="1" applyBorder="1" applyAlignment="1">
      <alignment horizontal="right" vertical="center"/>
    </xf>
    <xf numFmtId="38" fontId="12" fillId="0" borderId="37" xfId="20" applyFont="1" applyFill="1" applyBorder="1" applyAlignment="1">
      <alignment horizontal="right"/>
    </xf>
    <xf numFmtId="38" fontId="21" fillId="0" borderId="74" xfId="20" applyFont="1" applyFill="1" applyBorder="1" applyAlignment="1">
      <alignment horizontal="right" vertical="center"/>
    </xf>
    <xf numFmtId="38" fontId="12" fillId="0" borderId="29" xfId="20" applyFont="1" applyFill="1" applyBorder="1" applyAlignment="1">
      <alignment horizontal="right"/>
    </xf>
    <xf numFmtId="38" fontId="21" fillId="0" borderId="91" xfId="20" applyFont="1" applyFill="1" applyBorder="1" applyAlignment="1">
      <alignment horizontal="right" vertical="center"/>
    </xf>
    <xf numFmtId="38" fontId="12" fillId="0" borderId="97" xfId="20" applyFont="1" applyFill="1" applyBorder="1" applyAlignment="1">
      <alignment horizontal="right"/>
    </xf>
    <xf numFmtId="38" fontId="21" fillId="0" borderId="74" xfId="20" applyFont="1" applyFill="1" applyBorder="1" applyAlignment="1">
      <alignment vertical="center"/>
    </xf>
    <xf numFmtId="180" fontId="21" fillId="0" borderId="74" xfId="20" applyNumberFormat="1" applyFont="1" applyFill="1" applyBorder="1" applyAlignment="1">
      <alignment vertical="center"/>
    </xf>
    <xf numFmtId="180" fontId="21" fillId="0" borderId="28" xfId="20" applyNumberFormat="1" applyFont="1" applyFill="1" applyBorder="1" applyAlignment="1">
      <alignment horizontal="right" vertical="center"/>
    </xf>
    <xf numFmtId="38" fontId="21" fillId="0" borderId="26" xfId="20" applyNumberFormat="1" applyFont="1" applyFill="1" applyBorder="1" applyAlignment="1">
      <alignment horizontal="right" vertical="center"/>
    </xf>
    <xf numFmtId="38" fontId="21" fillId="0" borderId="98" xfId="20" applyFont="1" applyFill="1" applyBorder="1" applyAlignment="1">
      <alignment horizontal="right" vertical="center"/>
    </xf>
    <xf numFmtId="38" fontId="21" fillId="0" borderId="96" xfId="20" applyFont="1" applyFill="1" applyBorder="1" applyAlignment="1">
      <alignment horizontal="right" vertical="center"/>
    </xf>
    <xf numFmtId="38" fontId="21" fillId="0" borderId="96" xfId="20" applyFont="1" applyFill="1" applyBorder="1" applyAlignment="1">
      <alignment vertical="center"/>
    </xf>
    <xf numFmtId="176" fontId="21" fillId="10" borderId="21" xfId="20" applyNumberFormat="1" applyFont="1" applyFill="1" applyBorder="1" applyAlignment="1">
      <alignment vertical="center"/>
    </xf>
    <xf numFmtId="1" fontId="30" fillId="0" borderId="68" xfId="0" applyNumberFormat="1" applyFont="1" applyBorder="1" applyAlignment="1">
      <alignment horizontal="center" vertical="center"/>
    </xf>
    <xf numFmtId="176" fontId="21" fillId="0" borderId="114" xfId="20" applyNumberFormat="1" applyFont="1" applyBorder="1" applyAlignment="1">
      <alignment vertical="center"/>
    </xf>
    <xf numFmtId="2" fontId="21" fillId="0" borderId="68" xfId="0" applyNumberFormat="1" applyFont="1" applyBorder="1" applyAlignment="1">
      <alignment horizontal="center" vertical="center"/>
    </xf>
    <xf numFmtId="1" fontId="30" fillId="0" borderId="116" xfId="0" applyNumberFormat="1" applyFont="1" applyBorder="1" applyAlignment="1">
      <alignment horizontal="center" vertical="center"/>
    </xf>
    <xf numFmtId="176" fontId="21" fillId="0" borderId="116" xfId="20" applyNumberFormat="1" applyFont="1" applyBorder="1" applyAlignment="1">
      <alignment vertical="center"/>
    </xf>
    <xf numFmtId="1" fontId="30" fillId="0" borderId="35" xfId="0" applyNumberFormat="1" applyFont="1" applyBorder="1" applyAlignment="1">
      <alignment horizontal="center" vertical="center"/>
    </xf>
    <xf numFmtId="176" fontId="21" fillId="0" borderId="79" xfId="20" applyNumberFormat="1" applyFont="1" applyBorder="1" applyAlignment="1">
      <alignment vertical="center"/>
    </xf>
    <xf numFmtId="2" fontId="21" fillId="0" borderId="79" xfId="0" applyNumberFormat="1" applyFont="1" applyBorder="1" applyAlignment="1">
      <alignment horizontal="center" vertical="center"/>
    </xf>
    <xf numFmtId="1" fontId="30" fillId="0" borderId="97" xfId="0" applyNumberFormat="1" applyFont="1" applyBorder="1" applyAlignment="1">
      <alignment horizontal="center" vertical="center"/>
    </xf>
    <xf numFmtId="176" fontId="21" fillId="0" borderId="120" xfId="20" applyNumberFormat="1" applyFont="1" applyBorder="1" applyAlignment="1">
      <alignment vertical="center"/>
    </xf>
    <xf numFmtId="2" fontId="21" fillId="0" borderId="120" xfId="0" applyNumberFormat="1" applyFont="1" applyBorder="1" applyAlignment="1">
      <alignment horizontal="center" vertical="center"/>
    </xf>
    <xf numFmtId="176" fontId="21" fillId="0" borderId="118" xfId="20" applyNumberFormat="1" applyFont="1" applyBorder="1" applyAlignment="1">
      <alignment vertical="center"/>
    </xf>
    <xf numFmtId="2" fontId="21" fillId="0" borderId="118" xfId="0" applyNumberFormat="1" applyFont="1" applyBorder="1" applyAlignment="1">
      <alignment horizontal="center" vertical="center"/>
    </xf>
    <xf numFmtId="2" fontId="21" fillId="0" borderId="29" xfId="0" applyNumberFormat="1" applyFont="1" applyBorder="1" applyAlignment="1">
      <alignment horizontal="center" vertical="center"/>
    </xf>
    <xf numFmtId="0" fontId="30" fillId="0" borderId="154" xfId="0" applyFont="1" applyBorder="1" applyAlignment="1">
      <alignment horizontal="right" vertical="center"/>
    </xf>
    <xf numFmtId="1" fontId="30" fillId="0" borderId="15" xfId="0" applyNumberFormat="1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182" fontId="21" fillId="0" borderId="0" xfId="0" applyNumberFormat="1" applyFont="1" applyFill="1" applyBorder="1"/>
    <xf numFmtId="4" fontId="21" fillId="0" borderId="0" xfId="0" applyNumberFormat="1" applyFont="1" applyFill="1" applyBorder="1"/>
    <xf numFmtId="0" fontId="0" fillId="0" borderId="0" xfId="0" applyFont="1" applyFill="1" applyBorder="1"/>
    <xf numFmtId="3" fontId="21" fillId="0" borderId="50" xfId="0" applyNumberFormat="1" applyFont="1" applyBorder="1" applyAlignment="1">
      <alignment horizontal="right"/>
    </xf>
    <xf numFmtId="176" fontId="21" fillId="0" borderId="10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21" fillId="0" borderId="52" xfId="0" applyNumberFormat="1" applyFont="1" applyBorder="1" applyAlignment="1">
      <alignment horizontal="right"/>
    </xf>
    <xf numFmtId="38" fontId="21" fillId="0" borderId="21" xfId="20" applyFont="1" applyFill="1" applyBorder="1" applyAlignment="1">
      <alignment vertical="center"/>
    </xf>
    <xf numFmtId="38" fontId="21" fillId="0" borderId="118" xfId="20" applyFont="1" applyFill="1" applyBorder="1" applyAlignment="1">
      <alignment vertical="center"/>
    </xf>
    <xf numFmtId="0" fontId="30" fillId="0" borderId="33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2" xfId="0" applyFont="1" applyBorder="1" applyAlignment="1">
      <alignment vertical="center"/>
    </xf>
    <xf numFmtId="0" fontId="30" fillId="0" borderId="21" xfId="0" applyFont="1" applyBorder="1" applyAlignment="1">
      <alignment horizontal="distributed" vertical="center" justifyLastLine="1"/>
    </xf>
    <xf numFmtId="1" fontId="30" fillId="0" borderId="115" xfId="0" applyNumberFormat="1" applyFont="1" applyBorder="1" applyAlignment="1">
      <alignment horizontal="center" vertical="center"/>
    </xf>
    <xf numFmtId="2" fontId="21" fillId="0" borderId="115" xfId="0" applyNumberFormat="1" applyFont="1" applyBorder="1" applyAlignment="1">
      <alignment horizontal="center" vertical="center"/>
    </xf>
    <xf numFmtId="1" fontId="30" fillId="0" borderId="155" xfId="0" applyNumberFormat="1" applyFont="1" applyBorder="1" applyAlignment="1">
      <alignment horizontal="center" vertical="center"/>
    </xf>
    <xf numFmtId="176" fontId="21" fillId="0" borderId="158" xfId="20" applyNumberFormat="1" applyFont="1" applyBorder="1" applyAlignment="1">
      <alignment vertical="center"/>
    </xf>
    <xf numFmtId="2" fontId="21" fillId="0" borderId="155" xfId="0" applyNumberFormat="1" applyFont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distributed" vertical="center" justifyLastLine="1"/>
    </xf>
    <xf numFmtId="2" fontId="21" fillId="0" borderId="15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left" vertical="center"/>
    </xf>
    <xf numFmtId="0" fontId="30" fillId="0" borderId="160" xfId="0" applyFont="1" applyBorder="1"/>
    <xf numFmtId="0" fontId="30" fillId="0" borderId="162" xfId="0" applyFont="1" applyBorder="1" applyAlignment="1">
      <alignment horizontal="center" vertical="center"/>
    </xf>
    <xf numFmtId="0" fontId="21" fillId="0" borderId="151" xfId="0" applyFont="1" applyBorder="1" applyAlignment="1">
      <alignment horizontal="right" vertical="top"/>
    </xf>
    <xf numFmtId="0" fontId="30" fillId="0" borderId="3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38" fontId="21" fillId="0" borderId="32" xfId="20" applyFont="1" applyBorder="1" applyAlignment="1">
      <alignment vertical="center"/>
    </xf>
    <xf numFmtId="38" fontId="21" fillId="0" borderId="33" xfId="20" applyFont="1" applyBorder="1" applyAlignment="1">
      <alignment vertical="center"/>
    </xf>
    <xf numFmtId="38" fontId="21" fillId="0" borderId="36" xfId="20" applyFont="1" applyBorder="1" applyAlignment="1">
      <alignment vertical="center"/>
    </xf>
    <xf numFmtId="3" fontId="21" fillId="0" borderId="3" xfId="0" applyNumberFormat="1" applyFont="1" applyBorder="1" applyAlignment="1">
      <alignment horizontal="right"/>
    </xf>
    <xf numFmtId="1" fontId="30" fillId="0" borderId="122" xfId="0" applyNumberFormat="1" applyFont="1" applyBorder="1" applyAlignment="1">
      <alignment horizontal="center" vertical="center"/>
    </xf>
    <xf numFmtId="3" fontId="21" fillId="0" borderId="161" xfId="0" applyNumberFormat="1" applyFont="1" applyBorder="1" applyAlignment="1">
      <alignment horizontal="right"/>
    </xf>
    <xf numFmtId="176" fontId="21" fillId="0" borderId="165" xfId="0" applyNumberFormat="1" applyFont="1" applyBorder="1" applyAlignment="1">
      <alignment horizontal="right"/>
    </xf>
    <xf numFmtId="0" fontId="43" fillId="0" borderId="3" xfId="0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top"/>
    </xf>
    <xf numFmtId="0" fontId="31" fillId="0" borderId="167" xfId="0" applyFont="1" applyBorder="1"/>
    <xf numFmtId="0" fontId="43" fillId="0" borderId="168" xfId="0" applyFont="1" applyBorder="1" applyAlignment="1">
      <alignment horizontal="center" vertical="center" wrapText="1"/>
    </xf>
    <xf numFmtId="0" fontId="30" fillId="0" borderId="169" xfId="0" applyFont="1" applyBorder="1" applyAlignment="1">
      <alignment horizontal="center" vertical="center"/>
    </xf>
    <xf numFmtId="0" fontId="30" fillId="0" borderId="21" xfId="0" applyFont="1" applyBorder="1" applyAlignment="1">
      <alignment vertical="center" textRotation="255"/>
    </xf>
    <xf numFmtId="0" fontId="30" fillId="0" borderId="19" xfId="0" applyFont="1" applyBorder="1" applyAlignment="1">
      <alignment vertical="center" textRotation="255"/>
    </xf>
    <xf numFmtId="0" fontId="30" fillId="0" borderId="59" xfId="0" applyFont="1" applyBorder="1" applyAlignment="1">
      <alignment vertical="center" textRotation="255"/>
    </xf>
    <xf numFmtId="38" fontId="21" fillId="0" borderId="59" xfId="20" applyFont="1" applyFill="1" applyBorder="1" applyAlignment="1">
      <alignment vertical="center"/>
    </xf>
    <xf numFmtId="0" fontId="21" fillId="0" borderId="117" xfId="0" applyFont="1" applyFill="1" applyBorder="1" applyAlignment="1">
      <alignment horizontal="right" vertical="top"/>
    </xf>
    <xf numFmtId="0" fontId="30" fillId="0" borderId="143" xfId="0" applyFont="1" applyFill="1" applyBorder="1" applyAlignment="1">
      <alignment horizontal="center" vertical="center" shrinkToFit="1"/>
    </xf>
    <xf numFmtId="0" fontId="30" fillId="0" borderId="70" xfId="0" applyFont="1" applyFill="1" applyBorder="1" applyAlignment="1">
      <alignment horizontal="center" vertical="center" shrinkToFit="1"/>
    </xf>
    <xf numFmtId="0" fontId="30" fillId="0" borderId="176" xfId="0" applyFont="1" applyFill="1" applyBorder="1" applyAlignment="1">
      <alignment horizontal="center" vertical="center" shrinkToFit="1"/>
    </xf>
    <xf numFmtId="0" fontId="21" fillId="0" borderId="177" xfId="0" applyFont="1" applyFill="1" applyBorder="1" applyAlignment="1">
      <alignment horizontal="right" vertical="top"/>
    </xf>
    <xf numFmtId="0" fontId="30" fillId="0" borderId="179" xfId="0" applyFont="1" applyFill="1" applyBorder="1" applyAlignment="1">
      <alignment horizontal="center" vertical="center" shrinkToFit="1"/>
    </xf>
    <xf numFmtId="0" fontId="21" fillId="0" borderId="180" xfId="0" applyFont="1" applyFill="1" applyBorder="1" applyAlignment="1">
      <alignment horizontal="right" vertical="top"/>
    </xf>
    <xf numFmtId="0" fontId="30" fillId="0" borderId="145" xfId="0" applyFont="1" applyFill="1" applyBorder="1" applyAlignment="1">
      <alignment horizontal="center" vertical="center" shrinkToFit="1"/>
    </xf>
    <xf numFmtId="0" fontId="21" fillId="0" borderId="119" xfId="0" applyFont="1" applyFill="1" applyBorder="1" applyAlignment="1">
      <alignment horizontal="right" vertical="top"/>
    </xf>
    <xf numFmtId="0" fontId="21" fillId="0" borderId="15" xfId="0" applyFont="1" applyBorder="1" applyAlignment="1">
      <alignment horizontal="right" vertical="top"/>
    </xf>
    <xf numFmtId="0" fontId="43" fillId="0" borderId="60" xfId="0" applyFont="1" applyBorder="1" applyAlignment="1">
      <alignment horizontal="center" vertical="center" shrinkToFit="1"/>
    </xf>
    <xf numFmtId="0" fontId="17" fillId="0" borderId="165" xfId="0" applyFont="1" applyBorder="1" applyAlignment="1">
      <alignment horizontal="right" vertical="top"/>
    </xf>
    <xf numFmtId="0" fontId="19" fillId="0" borderId="15" xfId="0" applyFont="1" applyBorder="1" applyAlignment="1">
      <alignment horizontal="right" vertical="top"/>
    </xf>
    <xf numFmtId="0" fontId="19" fillId="0" borderId="60" xfId="0" applyFont="1" applyBorder="1" applyAlignment="1">
      <alignment horizontal="center" vertical="center" shrinkToFit="1"/>
    </xf>
    <xf numFmtId="0" fontId="18" fillId="0" borderId="165" xfId="0" applyFont="1" applyBorder="1" applyAlignment="1">
      <alignment horizontal="right" vertical="top"/>
    </xf>
    <xf numFmtId="0" fontId="30" fillId="0" borderId="67" xfId="0" applyFont="1" applyFill="1" applyBorder="1" applyAlignment="1">
      <alignment horizontal="distributed" vertical="center" indent="1" shrinkToFit="1"/>
    </xf>
    <xf numFmtId="0" fontId="43" fillId="0" borderId="68" xfId="0" applyFont="1" applyFill="1" applyBorder="1" applyAlignment="1">
      <alignment horizontal="right" vertical="top"/>
    </xf>
    <xf numFmtId="0" fontId="30" fillId="0" borderId="60" xfId="0" applyFont="1" applyFill="1" applyBorder="1" applyAlignment="1">
      <alignment horizontal="distributed" vertical="center" indent="1" shrinkToFit="1"/>
    </xf>
    <xf numFmtId="0" fontId="52" fillId="0" borderId="61" xfId="0" applyFont="1" applyFill="1" applyBorder="1" applyAlignment="1">
      <alignment horizontal="right" vertical="top"/>
    </xf>
    <xf numFmtId="0" fontId="30" fillId="0" borderId="0" xfId="0" applyFont="1" applyFill="1" applyBorder="1" applyAlignment="1">
      <alignment horizontal="distributed" vertical="center" indent="1" shrinkToFit="1"/>
    </xf>
    <xf numFmtId="0" fontId="52" fillId="0" borderId="35" xfId="0" applyFont="1" applyFill="1" applyBorder="1" applyAlignment="1">
      <alignment horizontal="right" vertical="top"/>
    </xf>
    <xf numFmtId="38" fontId="21" fillId="0" borderId="35" xfId="20" applyFont="1" applyBorder="1" applyAlignment="1">
      <alignment vertical="center"/>
    </xf>
    <xf numFmtId="38" fontId="21" fillId="0" borderId="68" xfId="20" applyFont="1" applyBorder="1" applyAlignment="1">
      <alignment vertical="center"/>
    </xf>
    <xf numFmtId="38" fontId="21" fillId="0" borderId="77" xfId="20" applyFont="1" applyBorder="1" applyAlignment="1">
      <alignment horizontal="center" vertical="center"/>
    </xf>
    <xf numFmtId="38" fontId="21" fillId="0" borderId="35" xfId="20" applyFont="1" applyBorder="1" applyAlignment="1">
      <alignment horizontal="center" vertical="center"/>
    </xf>
    <xf numFmtId="38" fontId="21" fillId="0" borderId="37" xfId="20" applyFont="1" applyBorder="1" applyAlignment="1">
      <alignment horizontal="center" vertical="center"/>
    </xf>
    <xf numFmtId="38" fontId="21" fillId="0" borderId="33" xfId="2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30" fillId="0" borderId="185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right" vertical="top"/>
    </xf>
    <xf numFmtId="3" fontId="21" fillId="0" borderId="169" xfId="0" applyNumberFormat="1" applyFont="1" applyBorder="1" applyAlignment="1">
      <alignment horizontal="right"/>
    </xf>
    <xf numFmtId="176" fontId="21" fillId="0" borderId="168" xfId="0" applyNumberFormat="1" applyFont="1" applyBorder="1" applyAlignment="1">
      <alignment horizontal="right"/>
    </xf>
    <xf numFmtId="0" fontId="31" fillId="0" borderId="0" xfId="0" applyFont="1" applyAlignment="1">
      <alignment vertical="center"/>
    </xf>
    <xf numFmtId="1" fontId="30" fillId="0" borderId="142" xfId="0" applyNumberFormat="1" applyFont="1" applyBorder="1" applyAlignment="1">
      <alignment horizontal="centerContinuous" vertical="center"/>
    </xf>
    <xf numFmtId="1" fontId="30" fillId="0" borderId="143" xfId="0" applyNumberFormat="1" applyFont="1" applyBorder="1" applyAlignment="1">
      <alignment horizontal="centerContinuous" vertical="center"/>
    </xf>
    <xf numFmtId="1" fontId="30" fillId="0" borderId="145" xfId="0" applyNumberFormat="1" applyFont="1" applyBorder="1" applyAlignment="1">
      <alignment horizontal="centerContinuous" vertical="center"/>
    </xf>
    <xf numFmtId="1" fontId="30" fillId="10" borderId="149" xfId="0" applyNumberFormat="1" applyFont="1" applyFill="1" applyBorder="1" applyAlignment="1">
      <alignment horizontal="centerContinuous" vertical="center"/>
    </xf>
    <xf numFmtId="176" fontId="21" fillId="10" borderId="79" xfId="20" applyNumberFormat="1" applyFont="1" applyFill="1" applyBorder="1" applyAlignment="1">
      <alignment vertical="center"/>
    </xf>
    <xf numFmtId="1" fontId="30" fillId="10" borderId="34" xfId="0" applyNumberFormat="1" applyFont="1" applyFill="1" applyBorder="1" applyAlignment="1">
      <alignment horizontal="centerContinuous" vertical="center"/>
    </xf>
    <xf numFmtId="1" fontId="30" fillId="10" borderId="70" xfId="0" applyNumberFormat="1" applyFont="1" applyFill="1" applyBorder="1" applyAlignment="1">
      <alignment horizontal="centerContinuous" vertical="center"/>
    </xf>
    <xf numFmtId="176" fontId="21" fillId="10" borderId="69" xfId="20" applyNumberFormat="1" applyFont="1" applyFill="1" applyBorder="1" applyAlignment="1">
      <alignment vertical="center"/>
    </xf>
    <xf numFmtId="1" fontId="30" fillId="0" borderId="172" xfId="0" applyNumberFormat="1" applyFont="1" applyBorder="1" applyAlignment="1">
      <alignment horizontal="centerContinuous" vertical="center"/>
    </xf>
    <xf numFmtId="176" fontId="21" fillId="0" borderId="170" xfId="20" applyNumberFormat="1" applyFont="1" applyBorder="1" applyAlignment="1">
      <alignment vertical="center"/>
    </xf>
    <xf numFmtId="0" fontId="30" fillId="0" borderId="64" xfId="0" applyFont="1" applyBorder="1" applyAlignment="1">
      <alignment vertical="center"/>
    </xf>
    <xf numFmtId="1" fontId="57" fillId="0" borderId="188" xfId="0" applyNumberFormat="1" applyFont="1" applyBorder="1" applyAlignment="1">
      <alignment horizontal="center" vertical="center"/>
    </xf>
    <xf numFmtId="1" fontId="57" fillId="0" borderId="189" xfId="0" applyNumberFormat="1" applyFont="1" applyBorder="1" applyAlignment="1">
      <alignment horizontal="center" vertical="center"/>
    </xf>
    <xf numFmtId="1" fontId="57" fillId="0" borderId="27" xfId="0" applyNumberFormat="1" applyFont="1" applyBorder="1" applyAlignment="1">
      <alignment horizontal="center" vertical="center"/>
    </xf>
    <xf numFmtId="1" fontId="57" fillId="0" borderId="122" xfId="0" applyNumberFormat="1" applyFont="1" applyBorder="1" applyAlignment="1">
      <alignment horizontal="center" vertical="center"/>
    </xf>
    <xf numFmtId="0" fontId="30" fillId="0" borderId="0" xfId="0" applyFont="1" applyFill="1" applyAlignment="1">
      <alignment horizontal="centerContinuous" vertical="top"/>
    </xf>
    <xf numFmtId="0" fontId="30" fillId="0" borderId="35" xfId="0" applyFont="1" applyFill="1" applyBorder="1" applyAlignment="1">
      <alignment horizontal="left"/>
    </xf>
    <xf numFmtId="0" fontId="31" fillId="0" borderId="0" xfId="0" applyFont="1" applyFill="1" applyAlignment="1">
      <alignment horizontal="left" vertical="center"/>
    </xf>
    <xf numFmtId="179" fontId="12" fillId="0" borderId="0" xfId="0" applyNumberFormat="1" applyFont="1" applyFill="1"/>
    <xf numFmtId="0" fontId="31" fillId="0" borderId="0" xfId="0" applyFont="1" applyFill="1" applyAlignment="1">
      <alignment vertical="center"/>
    </xf>
    <xf numFmtId="38" fontId="21" fillId="0" borderId="34" xfId="20" applyFont="1" applyBorder="1" applyAlignment="1">
      <alignment horizontal="right" vertical="center"/>
    </xf>
    <xf numFmtId="38" fontId="21" fillId="0" borderId="36" xfId="20" applyFont="1" applyBorder="1" applyAlignment="1">
      <alignment horizontal="right" vertical="center"/>
    </xf>
    <xf numFmtId="38" fontId="21" fillId="0" borderId="64" xfId="20" applyFont="1" applyBorder="1" applyAlignment="1">
      <alignment horizontal="right" vertical="center"/>
    </xf>
    <xf numFmtId="38" fontId="21" fillId="10" borderId="34" xfId="20" applyFont="1" applyFill="1" applyBorder="1" applyAlignment="1">
      <alignment horizontal="right" vertical="center"/>
    </xf>
    <xf numFmtId="38" fontId="21" fillId="0" borderId="34" xfId="20" applyFont="1" applyFill="1" applyBorder="1" applyAlignment="1">
      <alignment horizontal="right" vertical="center"/>
    </xf>
    <xf numFmtId="178" fontId="21" fillId="0" borderId="19" xfId="20" applyNumberFormat="1" applyFont="1" applyFill="1" applyBorder="1" applyAlignment="1">
      <alignment horizontal="right" vertical="center"/>
    </xf>
    <xf numFmtId="178" fontId="21" fillId="0" borderId="21" xfId="20" applyNumberFormat="1" applyFont="1" applyFill="1" applyBorder="1" applyAlignment="1">
      <alignment horizontal="right" vertical="center"/>
    </xf>
    <xf numFmtId="178" fontId="21" fillId="0" borderId="20" xfId="20" applyNumberFormat="1" applyFont="1" applyFill="1" applyBorder="1" applyAlignment="1">
      <alignment horizontal="right" vertical="center"/>
    </xf>
    <xf numFmtId="178" fontId="21" fillId="0" borderId="32" xfId="20" applyNumberFormat="1" applyFont="1" applyFill="1" applyBorder="1" applyAlignment="1">
      <alignment horizontal="right" vertical="center"/>
    </xf>
    <xf numFmtId="178" fontId="21" fillId="0" borderId="34" xfId="20" applyNumberFormat="1" applyFont="1" applyFill="1" applyBorder="1" applyAlignment="1">
      <alignment horizontal="right" vertical="center"/>
    </xf>
    <xf numFmtId="178" fontId="21" fillId="0" borderId="36" xfId="20" applyNumberFormat="1" applyFont="1" applyFill="1" applyBorder="1" applyAlignment="1">
      <alignment horizontal="right" vertical="center"/>
    </xf>
    <xf numFmtId="38" fontId="21" fillId="0" borderId="32" xfId="20" applyFont="1" applyFill="1" applyBorder="1" applyAlignment="1">
      <alignment horizontal="right" vertical="center"/>
    </xf>
    <xf numFmtId="38" fontId="21" fillId="0" borderId="78" xfId="20" applyFont="1" applyFill="1" applyBorder="1" applyAlignment="1">
      <alignment vertical="center"/>
    </xf>
    <xf numFmtId="178" fontId="21" fillId="0" borderId="69" xfId="20" applyNumberFormat="1" applyFont="1" applyFill="1" applyBorder="1" applyAlignment="1">
      <alignment horizontal="right" vertical="center"/>
    </xf>
    <xf numFmtId="38" fontId="21" fillId="0" borderId="70" xfId="20" applyFont="1" applyFill="1" applyBorder="1" applyAlignment="1">
      <alignment horizontal="right" vertical="center"/>
    </xf>
    <xf numFmtId="38" fontId="21" fillId="0" borderId="68" xfId="20" applyFont="1" applyFill="1" applyBorder="1" applyAlignment="1">
      <alignment horizontal="right" vertical="center"/>
    </xf>
    <xf numFmtId="38" fontId="21" fillId="0" borderId="67" xfId="20" applyFont="1" applyFill="1" applyBorder="1" applyAlignment="1">
      <alignment horizontal="right" vertical="center"/>
    </xf>
    <xf numFmtId="38" fontId="21" fillId="0" borderId="71" xfId="20" applyFont="1" applyFill="1" applyBorder="1" applyAlignment="1">
      <alignment vertical="center"/>
    </xf>
    <xf numFmtId="38" fontId="21" fillId="0" borderId="61" xfId="20" applyFont="1" applyFill="1" applyBorder="1" applyAlignment="1">
      <alignment horizontal="right" vertical="center"/>
    </xf>
    <xf numFmtId="38" fontId="21" fillId="0" borderId="60" xfId="20" applyFont="1" applyFill="1" applyBorder="1" applyAlignment="1">
      <alignment horizontal="right" vertical="center"/>
    </xf>
    <xf numFmtId="178" fontId="21" fillId="0" borderId="80" xfId="20" applyNumberFormat="1" applyFont="1" applyFill="1" applyBorder="1" applyAlignment="1">
      <alignment horizontal="right" vertical="center"/>
    </xf>
    <xf numFmtId="38" fontId="21" fillId="0" borderId="75" xfId="20" applyFont="1" applyFill="1" applyBorder="1" applyAlignment="1">
      <alignment horizontal="right" vertical="center"/>
    </xf>
    <xf numFmtId="38" fontId="21" fillId="0" borderId="77" xfId="20" applyFont="1" applyFill="1" applyBorder="1" applyAlignment="1">
      <alignment horizontal="right" vertical="center"/>
    </xf>
    <xf numFmtId="38" fontId="21" fillId="0" borderId="76" xfId="20" applyFont="1" applyFill="1" applyBorder="1" applyAlignment="1">
      <alignment horizontal="right" vertical="center"/>
    </xf>
    <xf numFmtId="38" fontId="21" fillId="0" borderId="75" xfId="20" applyFont="1" applyFill="1" applyBorder="1" applyAlignment="1">
      <alignment vertical="center"/>
    </xf>
    <xf numFmtId="38" fontId="21" fillId="0" borderId="81" xfId="20" applyFont="1" applyFill="1" applyBorder="1" applyAlignment="1">
      <alignment horizontal="center" vertical="center"/>
    </xf>
    <xf numFmtId="38" fontId="21" fillId="0" borderId="55" xfId="20" applyFont="1" applyFill="1" applyBorder="1" applyAlignment="1">
      <alignment horizontal="center" vertical="center"/>
    </xf>
    <xf numFmtId="38" fontId="21" fillId="0" borderId="53" xfId="20" applyFont="1" applyFill="1" applyBorder="1" applyAlignment="1">
      <alignment horizontal="center" vertical="center"/>
    </xf>
    <xf numFmtId="38" fontId="21" fillId="0" borderId="78" xfId="2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1" fontId="30" fillId="0" borderId="19" xfId="0" applyNumberFormat="1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92" fontId="12" fillId="0" borderId="0" xfId="0" applyNumberFormat="1" applyFont="1"/>
    <xf numFmtId="0" fontId="30" fillId="0" borderId="191" xfId="0" applyFont="1" applyBorder="1" applyAlignment="1">
      <alignment horizontal="centerContinuous"/>
    </xf>
    <xf numFmtId="0" fontId="30" fillId="0" borderId="192" xfId="0" applyFont="1" applyBorder="1" applyAlignment="1">
      <alignment horizontal="centerContinuous"/>
    </xf>
    <xf numFmtId="0" fontId="30" fillId="0" borderId="193" xfId="0" applyFont="1" applyBorder="1" applyAlignment="1">
      <alignment horizontal="centerContinuous"/>
    </xf>
    <xf numFmtId="0" fontId="59" fillId="0" borderId="190" xfId="0" applyFont="1" applyBorder="1" applyAlignment="1">
      <alignment horizontal="center"/>
    </xf>
    <xf numFmtId="0" fontId="21" fillId="23" borderId="27" xfId="21" applyFont="1" applyFill="1" applyBorder="1" applyAlignment="1">
      <alignment horizontal="center" vertical="center"/>
    </xf>
    <xf numFmtId="0" fontId="15" fillId="11" borderId="0" xfId="22" applyFont="1" applyFill="1"/>
    <xf numFmtId="0" fontId="15" fillId="11" borderId="0" xfId="21" applyFont="1" applyFill="1"/>
    <xf numFmtId="0" fontId="46" fillId="23" borderId="195" xfId="21" applyFont="1" applyFill="1" applyBorder="1" applyAlignment="1">
      <alignment horizontal="center" vertical="center"/>
    </xf>
    <xf numFmtId="40" fontId="60" fillId="13" borderId="194" xfId="21" applyNumberFormat="1" applyFont="1" applyFill="1" applyBorder="1"/>
    <xf numFmtId="40" fontId="60" fillId="13" borderId="84" xfId="21" applyNumberFormat="1" applyFont="1" applyFill="1" applyBorder="1"/>
    <xf numFmtId="0" fontId="61" fillId="0" borderId="0" xfId="21" applyFont="1"/>
    <xf numFmtId="0" fontId="63" fillId="20" borderId="102" xfId="21" applyNumberFormat="1" applyFont="1" applyFill="1" applyBorder="1"/>
    <xf numFmtId="187" fontId="63" fillId="20" borderId="102" xfId="21" applyNumberFormat="1" applyFont="1" applyFill="1" applyBorder="1"/>
    <xf numFmtId="0" fontId="62" fillId="23" borderId="27" xfId="21" applyFont="1" applyFill="1" applyBorder="1" applyAlignment="1">
      <alignment horizontal="center" vertical="center"/>
    </xf>
    <xf numFmtId="38" fontId="21" fillId="19" borderId="196" xfId="20" applyFont="1" applyFill="1" applyBorder="1" applyAlignment="1">
      <alignment vertical="center" wrapText="1"/>
    </xf>
    <xf numFmtId="0" fontId="47" fillId="19" borderId="197" xfId="21" applyFont="1" applyFill="1" applyBorder="1" applyAlignment="1">
      <alignment vertical="center" wrapText="1"/>
    </xf>
    <xf numFmtId="38" fontId="47" fillId="19" borderId="195" xfId="20" applyFont="1" applyFill="1" applyBorder="1" applyAlignment="1">
      <alignment vertical="center" wrapText="1"/>
    </xf>
    <xf numFmtId="38" fontId="47" fillId="19" borderId="197" xfId="20" applyFont="1" applyFill="1" applyBorder="1" applyAlignment="1">
      <alignment vertical="center" wrapText="1"/>
    </xf>
    <xf numFmtId="38" fontId="47" fillId="19" borderId="195" xfId="20" applyFont="1" applyFill="1" applyBorder="1" applyAlignment="1">
      <alignment vertical="center"/>
    </xf>
    <xf numFmtId="38" fontId="45" fillId="19" borderId="195" xfId="20" applyFont="1" applyFill="1" applyBorder="1" applyAlignment="1">
      <alignment vertical="center" wrapText="1"/>
    </xf>
    <xf numFmtId="38" fontId="47" fillId="33" borderId="195" xfId="20" applyFont="1" applyFill="1" applyBorder="1" applyAlignment="1">
      <alignment horizontal="center" wrapText="1"/>
    </xf>
    <xf numFmtId="38" fontId="21" fillId="0" borderId="193" xfId="20" applyFont="1" applyBorder="1" applyAlignment="1">
      <alignment vertical="center"/>
    </xf>
    <xf numFmtId="38" fontId="21" fillId="0" borderId="193" xfId="20" applyFont="1" applyBorder="1" applyAlignment="1">
      <alignment vertical="center" wrapText="1"/>
    </xf>
    <xf numFmtId="38" fontId="45" fillId="0" borderId="193" xfId="20" applyFont="1" applyBorder="1" applyAlignment="1">
      <alignment vertical="center" wrapText="1"/>
    </xf>
    <xf numFmtId="38" fontId="21" fillId="0" borderId="195" xfId="20" applyFont="1" applyFill="1" applyBorder="1" applyAlignment="1">
      <alignment vertical="center" wrapText="1"/>
    </xf>
    <xf numFmtId="38" fontId="21" fillId="35" borderId="195" xfId="20" applyFont="1" applyFill="1" applyBorder="1" applyAlignment="1">
      <alignment vertical="center" wrapText="1"/>
    </xf>
    <xf numFmtId="38" fontId="21" fillId="33" borderId="195" xfId="20" applyFont="1" applyFill="1" applyBorder="1" applyAlignment="1">
      <alignment vertical="center" wrapText="1"/>
    </xf>
    <xf numFmtId="0" fontId="62" fillId="31" borderId="106" xfId="21" applyFont="1" applyFill="1" applyBorder="1" applyAlignment="1">
      <alignment horizontal="right" vertical="center"/>
    </xf>
    <xf numFmtId="0" fontId="43" fillId="0" borderId="85" xfId="21" applyNumberFormat="1" applyFont="1" applyFill="1" applyBorder="1"/>
    <xf numFmtId="40" fontId="60" fillId="15" borderId="84" xfId="21" applyNumberFormat="1" applyFont="1" applyFill="1" applyBorder="1" applyAlignment="1">
      <alignment vertical="center" wrapText="1"/>
    </xf>
    <xf numFmtId="40" fontId="60" fillId="13" borderId="194" xfId="21" applyNumberFormat="1" applyFont="1" applyFill="1" applyBorder="1" applyAlignment="1">
      <alignment vertical="center"/>
    </xf>
    <xf numFmtId="40" fontId="60" fillId="13" borderId="84" xfId="21" applyNumberFormat="1" applyFont="1" applyFill="1" applyBorder="1" applyAlignment="1">
      <alignment vertical="center"/>
    </xf>
    <xf numFmtId="40" fontId="60" fillId="14" borderId="84" xfId="21" applyNumberFormat="1" applyFont="1" applyFill="1" applyBorder="1" applyAlignment="1">
      <alignment vertical="center"/>
    </xf>
    <xf numFmtId="40" fontId="60" fillId="15" borderId="84" xfId="21" applyNumberFormat="1" applyFont="1" applyFill="1" applyBorder="1" applyAlignment="1">
      <alignment vertical="center"/>
    </xf>
    <xf numFmtId="40" fontId="60" fillId="16" borderId="84" xfId="21" applyNumberFormat="1" applyFont="1" applyFill="1" applyBorder="1" applyAlignment="1">
      <alignment vertical="center"/>
    </xf>
    <xf numFmtId="40" fontId="60" fillId="13" borderId="84" xfId="21" applyNumberFormat="1" applyFont="1" applyFill="1" applyBorder="1" applyAlignment="1">
      <alignment vertical="center" wrapText="1"/>
    </xf>
    <xf numFmtId="40" fontId="60" fillId="28" borderId="84" xfId="21" applyNumberFormat="1" applyFont="1" applyFill="1" applyBorder="1" applyAlignment="1">
      <alignment vertical="center"/>
    </xf>
    <xf numFmtId="40" fontId="60" fillId="29" borderId="84" xfId="21" applyNumberFormat="1" applyFont="1" applyFill="1" applyBorder="1" applyAlignment="1">
      <alignment vertical="center"/>
    </xf>
    <xf numFmtId="40" fontId="60" fillId="30" borderId="84" xfId="21" applyNumberFormat="1" applyFont="1" applyFill="1" applyBorder="1" applyAlignment="1">
      <alignment vertical="center"/>
    </xf>
    <xf numFmtId="40" fontId="60" fillId="31" borderId="84" xfId="21" applyNumberFormat="1" applyFont="1" applyFill="1" applyBorder="1" applyAlignment="1">
      <alignment vertical="center"/>
    </xf>
    <xf numFmtId="0" fontId="64" fillId="0" borderId="0" xfId="21" applyFont="1"/>
    <xf numFmtId="0" fontId="60" fillId="0" borderId="0" xfId="21" applyFont="1" applyAlignment="1">
      <alignment horizontal="center"/>
    </xf>
    <xf numFmtId="40" fontId="60" fillId="16" borderId="102" xfId="21" applyNumberFormat="1" applyFont="1" applyFill="1" applyBorder="1" applyAlignment="1">
      <alignment vertical="center" wrapText="1"/>
    </xf>
    <xf numFmtId="40" fontId="60" fillId="13" borderId="102" xfId="21" applyNumberFormat="1" applyFont="1" applyFill="1" applyBorder="1" applyAlignment="1">
      <alignment vertical="center" wrapText="1"/>
    </xf>
    <xf numFmtId="38" fontId="21" fillId="33" borderId="43" xfId="20" applyFont="1" applyFill="1" applyBorder="1" applyAlignment="1">
      <alignment vertical="center"/>
    </xf>
    <xf numFmtId="0" fontId="21" fillId="0" borderId="43" xfId="21" applyFont="1" applyBorder="1" applyAlignment="1">
      <alignment vertical="center" wrapText="1"/>
    </xf>
    <xf numFmtId="0" fontId="45" fillId="0" borderId="43" xfId="21" applyFont="1" applyBorder="1" applyAlignment="1">
      <alignment vertical="center" wrapText="1"/>
    </xf>
    <xf numFmtId="40" fontId="60" fillId="13" borderId="85" xfId="21" applyNumberFormat="1" applyFont="1" applyFill="1" applyBorder="1"/>
    <xf numFmtId="40" fontId="60" fillId="13" borderId="103" xfId="21" applyNumberFormat="1" applyFont="1" applyFill="1" applyBorder="1"/>
    <xf numFmtId="40" fontId="60" fillId="13" borderId="194" xfId="21" applyNumberFormat="1" applyFont="1" applyFill="1" applyBorder="1" applyAlignment="1">
      <alignment vertical="center" wrapText="1"/>
    </xf>
    <xf numFmtId="0" fontId="15" fillId="0" borderId="0" xfId="21" applyFont="1" applyAlignment="1">
      <alignment wrapText="1"/>
    </xf>
    <xf numFmtId="189" fontId="66" fillId="0" borderId="27" xfId="21" applyNumberFormat="1" applyFont="1" applyBorder="1"/>
    <xf numFmtId="0" fontId="67" fillId="37" borderId="26" xfId="21" applyFont="1" applyFill="1" applyBorder="1"/>
    <xf numFmtId="0" fontId="67" fillId="37" borderId="26" xfId="21" applyFont="1" applyFill="1" applyBorder="1" applyAlignment="1">
      <alignment vertical="center"/>
    </xf>
    <xf numFmtId="0" fontId="67" fillId="37" borderId="26" xfId="21" applyFont="1" applyFill="1" applyBorder="1" applyAlignment="1">
      <alignment vertical="center" wrapText="1"/>
    </xf>
    <xf numFmtId="0" fontId="66" fillId="0" borderId="27" xfId="21" applyFont="1" applyBorder="1"/>
    <xf numFmtId="0" fontId="66" fillId="38" borderId="27" xfId="21" applyFont="1" applyFill="1" applyBorder="1"/>
    <xf numFmtId="0" fontId="66" fillId="0" borderId="27" xfId="21" applyNumberFormat="1" applyFont="1" applyBorder="1"/>
    <xf numFmtId="0" fontId="66" fillId="0" borderId="0" xfId="21" applyFont="1"/>
    <xf numFmtId="0" fontId="67" fillId="37" borderId="0" xfId="21" applyFont="1" applyFill="1"/>
    <xf numFmtId="0" fontId="39" fillId="0" borderId="0" xfId="0" applyFont="1" applyAlignment="1">
      <alignment horizontal="right"/>
    </xf>
    <xf numFmtId="0" fontId="67" fillId="0" borderId="0" xfId="0" applyFont="1"/>
    <xf numFmtId="0" fontId="30" fillId="10" borderId="196" xfId="0" applyFont="1" applyFill="1" applyBorder="1" applyAlignment="1">
      <alignment vertical="center"/>
    </xf>
    <xf numFmtId="0" fontId="30" fillId="10" borderId="198" xfId="0" applyFont="1" applyFill="1" applyBorder="1" applyAlignment="1">
      <alignment horizontal="center" vertical="center"/>
    </xf>
    <xf numFmtId="0" fontId="31" fillId="10" borderId="197" xfId="0" applyFont="1" applyFill="1" applyBorder="1" applyAlignment="1">
      <alignment horizontal="center" vertical="center"/>
    </xf>
    <xf numFmtId="1" fontId="30" fillId="10" borderId="27" xfId="0" applyNumberFormat="1" applyFont="1" applyFill="1" applyBorder="1" applyAlignment="1">
      <alignment horizontal="center" vertical="top"/>
    </xf>
    <xf numFmtId="0" fontId="12" fillId="10" borderId="27" xfId="0" applyFont="1" applyFill="1" applyBorder="1" applyAlignment="1">
      <alignment horizontal="center" vertical="top"/>
    </xf>
    <xf numFmtId="177" fontId="21" fillId="40" borderId="13" xfId="7" applyFont="1" applyFill="1" applyBorder="1" applyAlignment="1" applyProtection="1">
      <alignment horizontal="right"/>
    </xf>
    <xf numFmtId="0" fontId="12" fillId="40" borderId="0" xfId="0" applyFont="1" applyFill="1" applyBorder="1"/>
    <xf numFmtId="0" fontId="30" fillId="40" borderId="3" xfId="0" applyFont="1" applyFill="1" applyBorder="1"/>
    <xf numFmtId="1" fontId="57" fillId="40" borderId="27" xfId="0" applyNumberFormat="1" applyFont="1" applyFill="1" applyBorder="1" applyAlignment="1">
      <alignment horizontal="center" vertical="center"/>
    </xf>
    <xf numFmtId="177" fontId="21" fillId="40" borderId="141" xfId="7" applyFont="1" applyFill="1" applyBorder="1" applyAlignment="1" applyProtection="1">
      <alignment horizontal="right"/>
    </xf>
    <xf numFmtId="0" fontId="0" fillId="40" borderId="0" xfId="0" applyFill="1" applyBorder="1"/>
    <xf numFmtId="1" fontId="57" fillId="40" borderId="199" xfId="0" applyNumberFormat="1" applyFont="1" applyFill="1" applyBorder="1" applyAlignment="1">
      <alignment horizontal="center" vertical="center"/>
    </xf>
    <xf numFmtId="1" fontId="57" fillId="40" borderId="200" xfId="0" applyNumberFormat="1" applyFont="1" applyFill="1" applyBorder="1" applyAlignment="1">
      <alignment horizontal="center" vertical="center"/>
    </xf>
    <xf numFmtId="3" fontId="21" fillId="40" borderId="13" xfId="0" applyNumberFormat="1" applyFont="1" applyFill="1" applyBorder="1" applyAlignment="1">
      <alignment horizontal="right"/>
    </xf>
    <xf numFmtId="176" fontId="21" fillId="40" borderId="140" xfId="0" applyNumberFormat="1" applyFont="1" applyFill="1" applyBorder="1" applyAlignment="1">
      <alignment horizontal="right"/>
    </xf>
    <xf numFmtId="176" fontId="21" fillId="0" borderId="140" xfId="0" applyNumberFormat="1" applyFont="1" applyBorder="1" applyAlignment="1">
      <alignment horizontal="right"/>
    </xf>
    <xf numFmtId="3" fontId="21" fillId="0" borderId="141" xfId="0" applyNumberFormat="1" applyFont="1" applyBorder="1" applyAlignment="1">
      <alignment horizontal="right"/>
    </xf>
    <xf numFmtId="176" fontId="21" fillId="0" borderId="66" xfId="0" applyNumberFormat="1" applyFont="1" applyBorder="1" applyAlignment="1">
      <alignment horizontal="right"/>
    </xf>
    <xf numFmtId="176" fontId="21" fillId="0" borderId="63" xfId="0" applyNumberFormat="1" applyFont="1" applyBorder="1" applyAlignment="1">
      <alignment horizontal="right"/>
    </xf>
    <xf numFmtId="0" fontId="67" fillId="0" borderId="0" xfId="0" applyFont="1" applyBorder="1" applyAlignment="1">
      <alignment horizontal="center"/>
    </xf>
    <xf numFmtId="0" fontId="30" fillId="0" borderId="27" xfId="0" applyFont="1" applyBorder="1" applyAlignment="1">
      <alignment vertical="center" textRotation="255"/>
    </xf>
    <xf numFmtId="3" fontId="21" fillId="0" borderId="20" xfId="0" applyNumberFormat="1" applyFont="1" applyFill="1" applyBorder="1" applyAlignment="1">
      <alignment horizontal="right"/>
    </xf>
    <xf numFmtId="0" fontId="12" fillId="0" borderId="21" xfId="0" applyFont="1" applyFill="1" applyBorder="1" applyAlignment="1">
      <alignment horizontal="right" shrinkToFit="1"/>
    </xf>
    <xf numFmtId="0" fontId="12" fillId="0" borderId="21" xfId="0" applyFont="1" applyFill="1" applyBorder="1" applyAlignment="1">
      <alignment horizontal="right"/>
    </xf>
    <xf numFmtId="3" fontId="21" fillId="0" borderId="20" xfId="0" applyNumberFormat="1" applyFont="1" applyFill="1" applyBorder="1" applyAlignment="1">
      <alignment horizontal="right" shrinkToFit="1"/>
    </xf>
    <xf numFmtId="3" fontId="21" fillId="0" borderId="59" xfId="0" applyNumberFormat="1" applyFont="1" applyFill="1" applyBorder="1" applyAlignment="1">
      <alignment horizontal="right" shrinkToFit="1"/>
    </xf>
    <xf numFmtId="3" fontId="21" fillId="0" borderId="59" xfId="0" applyNumberFormat="1" applyFont="1" applyFill="1" applyBorder="1" applyAlignment="1">
      <alignment horizontal="right"/>
    </xf>
    <xf numFmtId="3" fontId="68" fillId="0" borderId="20" xfId="0" applyNumberFormat="1" applyFont="1" applyFill="1" applyBorder="1" applyAlignment="1">
      <alignment horizontal="right"/>
    </xf>
    <xf numFmtId="0" fontId="39" fillId="0" borderId="0" xfId="0" applyFont="1" applyBorder="1" applyAlignment="1">
      <alignment horizontal="right"/>
    </xf>
    <xf numFmtId="4" fontId="66" fillId="12" borderId="27" xfId="0" applyNumberFormat="1" applyFont="1" applyFill="1" applyBorder="1"/>
    <xf numFmtId="0" fontId="66" fillId="23" borderId="27" xfId="0" applyFont="1" applyFill="1" applyBorder="1" applyAlignment="1">
      <alignment horizontal="right"/>
    </xf>
    <xf numFmtId="0" fontId="66" fillId="22" borderId="27" xfId="0" applyFont="1" applyFill="1" applyBorder="1" applyAlignment="1">
      <alignment horizontal="right"/>
    </xf>
    <xf numFmtId="0" fontId="66" fillId="22" borderId="28" xfId="0" applyFont="1" applyFill="1" applyBorder="1"/>
    <xf numFmtId="0" fontId="66" fillId="22" borderId="29" xfId="0" applyFont="1" applyFill="1" applyBorder="1"/>
    <xf numFmtId="0" fontId="66" fillId="12" borderId="27" xfId="0" applyFont="1" applyFill="1" applyBorder="1"/>
    <xf numFmtId="0" fontId="66" fillId="12" borderId="27" xfId="0" applyFont="1" applyFill="1" applyBorder="1" applyAlignment="1">
      <alignment horizontal="right"/>
    </xf>
    <xf numFmtId="0" fontId="66" fillId="12" borderId="28" xfId="0" applyFont="1" applyFill="1" applyBorder="1"/>
    <xf numFmtId="0" fontId="66" fillId="12" borderId="29" xfId="0" applyFont="1" applyFill="1" applyBorder="1"/>
    <xf numFmtId="0" fontId="66" fillId="0" borderId="27" xfId="0" applyFont="1" applyBorder="1"/>
    <xf numFmtId="191" fontId="66" fillId="0" borderId="27" xfId="0" applyNumberFormat="1" applyFont="1" applyBorder="1" applyAlignment="1">
      <alignment horizontal="right"/>
    </xf>
    <xf numFmtId="0" fontId="66" fillId="0" borderId="28" xfId="0" applyFont="1" applyBorder="1"/>
    <xf numFmtId="0" fontId="66" fillId="0" borderId="74" xfId="0" applyFont="1" applyBorder="1"/>
    <xf numFmtId="0" fontId="66" fillId="0" borderId="29" xfId="0" applyFont="1" applyBorder="1"/>
    <xf numFmtId="0" fontId="66" fillId="39" borderId="27" xfId="0" applyFont="1" applyFill="1" applyBorder="1"/>
    <xf numFmtId="38" fontId="66" fillId="39" borderId="28" xfId="20" applyFont="1" applyFill="1" applyBorder="1"/>
    <xf numFmtId="38" fontId="66" fillId="39" borderId="29" xfId="20" applyFont="1" applyFill="1" applyBorder="1"/>
    <xf numFmtId="0" fontId="66" fillId="39" borderId="27" xfId="0" applyFont="1" applyFill="1" applyBorder="1" applyAlignment="1">
      <alignment horizontal="right"/>
    </xf>
    <xf numFmtId="0" fontId="30" fillId="40" borderId="21" xfId="0" applyFont="1" applyFill="1" applyBorder="1" applyAlignment="1">
      <alignment horizontal="right" vertical="top"/>
    </xf>
    <xf numFmtId="1" fontId="30" fillId="40" borderId="15" xfId="0" applyNumberFormat="1" applyFont="1" applyFill="1" applyBorder="1" applyAlignment="1">
      <alignment horizontal="center" vertical="center"/>
    </xf>
    <xf numFmtId="0" fontId="21" fillId="40" borderId="0" xfId="0" applyFont="1" applyFill="1" applyBorder="1" applyAlignment="1">
      <alignment horizontal="right"/>
    </xf>
    <xf numFmtId="0" fontId="30" fillId="40" borderId="12" xfId="0" applyFont="1" applyFill="1" applyBorder="1" applyAlignment="1">
      <alignment horizontal="center"/>
    </xf>
    <xf numFmtId="176" fontId="21" fillId="40" borderId="39" xfId="0" applyNumberFormat="1" applyFont="1" applyFill="1" applyBorder="1" applyAlignment="1">
      <alignment horizontal="right" shrinkToFit="1"/>
    </xf>
    <xf numFmtId="182" fontId="21" fillId="40" borderId="45" xfId="0" applyNumberFormat="1" applyFont="1" applyFill="1" applyBorder="1" applyAlignment="1">
      <alignment horizontal="right" shrinkToFit="1"/>
    </xf>
    <xf numFmtId="182" fontId="21" fillId="40" borderId="46" xfId="0" applyNumberFormat="1" applyFont="1" applyFill="1" applyBorder="1" applyAlignment="1">
      <alignment horizontal="right" shrinkToFit="1"/>
    </xf>
    <xf numFmtId="4" fontId="21" fillId="40" borderId="46" xfId="0" applyNumberFormat="1" applyFont="1" applyFill="1" applyBorder="1" applyAlignment="1">
      <alignment horizontal="right" shrinkToFit="1"/>
    </xf>
    <xf numFmtId="3" fontId="21" fillId="40" borderId="45" xfId="0" applyNumberFormat="1" applyFont="1" applyFill="1" applyBorder="1" applyAlignment="1">
      <alignment horizontal="right" shrinkToFit="1"/>
    </xf>
    <xf numFmtId="3" fontId="21" fillId="40" borderId="46" xfId="0" applyNumberFormat="1" applyFont="1" applyFill="1" applyBorder="1" applyAlignment="1">
      <alignment horizontal="right" shrinkToFit="1"/>
    </xf>
    <xf numFmtId="182" fontId="21" fillId="0" borderId="45" xfId="0" applyNumberFormat="1" applyFont="1" applyBorder="1" applyAlignment="1">
      <alignment horizontal="right" shrinkToFit="1"/>
    </xf>
    <xf numFmtId="176" fontId="21" fillId="0" borderId="39" xfId="0" applyNumberFormat="1" applyFont="1" applyBorder="1" applyAlignment="1">
      <alignment horizontal="right" shrinkToFit="1"/>
    </xf>
    <xf numFmtId="182" fontId="21" fillId="0" borderId="46" xfId="0" applyNumberFormat="1" applyFont="1" applyBorder="1" applyAlignment="1">
      <alignment horizontal="right" shrinkToFit="1"/>
    </xf>
    <xf numFmtId="4" fontId="21" fillId="0" borderId="46" xfId="0" applyNumberFormat="1" applyFont="1" applyBorder="1" applyAlignment="1">
      <alignment horizontal="right" shrinkToFit="1"/>
    </xf>
    <xf numFmtId="3" fontId="21" fillId="0" borderId="45" xfId="0" applyNumberFormat="1" applyFont="1" applyBorder="1" applyAlignment="1">
      <alignment horizontal="right" shrinkToFit="1"/>
    </xf>
    <xf numFmtId="3" fontId="21" fillId="0" borderId="46" xfId="0" applyNumberFormat="1" applyFont="1" applyBorder="1" applyAlignment="1">
      <alignment horizontal="right" shrinkToFit="1"/>
    </xf>
    <xf numFmtId="182" fontId="21" fillId="0" borderId="13" xfId="0" applyNumberFormat="1" applyFont="1" applyBorder="1" applyAlignment="1">
      <alignment horizontal="right" shrinkToFit="1"/>
    </xf>
    <xf numFmtId="176" fontId="21" fillId="0" borderId="10" xfId="0" applyNumberFormat="1" applyFont="1" applyBorder="1" applyAlignment="1">
      <alignment horizontal="right" shrinkToFit="1"/>
    </xf>
    <xf numFmtId="4" fontId="21" fillId="0" borderId="13" xfId="0" applyNumberFormat="1" applyFont="1" applyBorder="1" applyAlignment="1">
      <alignment horizontal="right" shrinkToFit="1"/>
    </xf>
    <xf numFmtId="3" fontId="21" fillId="0" borderId="22" xfId="0" applyNumberFormat="1" applyFont="1" applyBorder="1" applyAlignment="1">
      <alignment horizontal="right" shrinkToFit="1"/>
    </xf>
    <xf numFmtId="3" fontId="21" fillId="0" borderId="13" xfId="0" applyNumberFormat="1" applyFont="1" applyBorder="1" applyAlignment="1">
      <alignment horizontal="right" shrinkToFit="1"/>
    </xf>
    <xf numFmtId="182" fontId="21" fillId="40" borderId="16" xfId="0" applyNumberFormat="1" applyFont="1" applyFill="1" applyBorder="1" applyAlignment="1">
      <alignment horizontal="right" shrinkToFit="1"/>
    </xf>
    <xf numFmtId="4" fontId="21" fillId="40" borderId="16" xfId="0" applyNumberFormat="1" applyFont="1" applyFill="1" applyBorder="1" applyAlignment="1">
      <alignment horizontal="right" shrinkToFit="1"/>
    </xf>
    <xf numFmtId="3" fontId="21" fillId="40" borderId="47" xfId="0" applyNumberFormat="1" applyFont="1" applyFill="1" applyBorder="1" applyAlignment="1">
      <alignment horizontal="right" shrinkToFit="1"/>
    </xf>
    <xf numFmtId="3" fontId="21" fillId="40" borderId="16" xfId="0" applyNumberFormat="1" applyFont="1" applyFill="1" applyBorder="1" applyAlignment="1">
      <alignment horizontal="right" shrinkToFit="1"/>
    </xf>
    <xf numFmtId="182" fontId="21" fillId="0" borderId="16" xfId="0" applyNumberFormat="1" applyFont="1" applyBorder="1" applyAlignment="1">
      <alignment horizontal="right" shrinkToFit="1"/>
    </xf>
    <xf numFmtId="4" fontId="21" fillId="0" borderId="16" xfId="0" applyNumberFormat="1" applyFont="1" applyBorder="1" applyAlignment="1">
      <alignment horizontal="right" shrinkToFit="1"/>
    </xf>
    <xf numFmtId="3" fontId="21" fillId="0" borderId="47" xfId="0" applyNumberFormat="1" applyFont="1" applyBorder="1" applyAlignment="1">
      <alignment horizontal="right" shrinkToFit="1"/>
    </xf>
    <xf numFmtId="3" fontId="21" fillId="0" borderId="16" xfId="0" applyNumberFormat="1" applyFont="1" applyBorder="1" applyAlignment="1">
      <alignment horizontal="right" shrinkToFit="1"/>
    </xf>
    <xf numFmtId="0" fontId="69" fillId="0" borderId="27" xfId="0" applyFont="1" applyBorder="1" applyAlignment="1">
      <alignment horizontal="center" vertical="top"/>
    </xf>
    <xf numFmtId="0" fontId="30" fillId="0" borderId="32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83" fontId="21" fillId="0" borderId="125" xfId="0" applyNumberFormat="1" applyFont="1" applyFill="1" applyBorder="1" applyAlignment="1">
      <alignment horizontal="right"/>
    </xf>
    <xf numFmtId="183" fontId="21" fillId="0" borderId="129" xfId="0" applyNumberFormat="1" applyFont="1" applyFill="1" applyBorder="1" applyAlignment="1">
      <alignment horizontal="right"/>
    </xf>
    <xf numFmtId="183" fontId="21" fillId="0" borderId="66" xfId="0" applyNumberFormat="1" applyFont="1" applyFill="1" applyBorder="1" applyAlignment="1">
      <alignment horizontal="right"/>
    </xf>
    <xf numFmtId="184" fontId="21" fillId="0" borderId="125" xfId="0" applyNumberFormat="1" applyFont="1" applyFill="1" applyBorder="1" applyAlignment="1">
      <alignment horizontal="right"/>
    </xf>
    <xf numFmtId="184" fontId="21" fillId="0" borderId="129" xfId="0" applyNumberFormat="1" applyFont="1" applyFill="1" applyBorder="1" applyAlignment="1">
      <alignment horizontal="right"/>
    </xf>
    <xf numFmtId="184" fontId="21" fillId="0" borderId="66" xfId="0" applyNumberFormat="1" applyFont="1" applyFill="1" applyBorder="1" applyAlignment="1">
      <alignment horizontal="right"/>
    </xf>
    <xf numFmtId="38" fontId="21" fillId="0" borderId="125" xfId="0" applyNumberFormat="1" applyFont="1" applyFill="1" applyBorder="1" applyAlignment="1">
      <alignment horizontal="right"/>
    </xf>
    <xf numFmtId="38" fontId="21" fillId="0" borderId="129" xfId="0" applyNumberFormat="1" applyFont="1" applyFill="1" applyBorder="1" applyAlignment="1">
      <alignment horizontal="right"/>
    </xf>
    <xf numFmtId="38" fontId="21" fillId="0" borderId="66" xfId="0" applyNumberFormat="1" applyFont="1" applyFill="1" applyBorder="1" applyAlignment="1">
      <alignment horizontal="right"/>
    </xf>
    <xf numFmtId="183" fontId="21" fillId="0" borderId="126" xfId="0" applyNumberFormat="1" applyFont="1" applyFill="1" applyBorder="1" applyAlignment="1">
      <alignment horizontal="right"/>
    </xf>
    <xf numFmtId="183" fontId="21" fillId="0" borderId="131" xfId="0" applyNumberFormat="1" applyFont="1" applyFill="1" applyBorder="1" applyAlignment="1">
      <alignment horizontal="right"/>
    </xf>
    <xf numFmtId="183" fontId="21" fillId="0" borderId="127" xfId="0" applyNumberFormat="1" applyFont="1" applyFill="1" applyBorder="1" applyAlignment="1">
      <alignment horizontal="right"/>
    </xf>
    <xf numFmtId="184" fontId="21" fillId="0" borderId="126" xfId="0" applyNumberFormat="1" applyFont="1" applyFill="1" applyBorder="1" applyAlignment="1">
      <alignment horizontal="right"/>
    </xf>
    <xf numFmtId="184" fontId="21" fillId="0" borderId="131" xfId="0" applyNumberFormat="1" applyFont="1" applyFill="1" applyBorder="1" applyAlignment="1">
      <alignment horizontal="right"/>
    </xf>
    <xf numFmtId="184" fontId="21" fillId="0" borderId="127" xfId="0" applyNumberFormat="1" applyFont="1" applyFill="1" applyBorder="1" applyAlignment="1">
      <alignment horizontal="right"/>
    </xf>
    <xf numFmtId="38" fontId="21" fillId="0" borderId="126" xfId="0" applyNumberFormat="1" applyFont="1" applyFill="1" applyBorder="1" applyAlignment="1">
      <alignment horizontal="right"/>
    </xf>
    <xf numFmtId="38" fontId="21" fillId="0" borderId="131" xfId="0" applyNumberFormat="1" applyFont="1" applyFill="1" applyBorder="1" applyAlignment="1">
      <alignment horizontal="right"/>
    </xf>
    <xf numFmtId="38" fontId="21" fillId="0" borderId="127" xfId="0" applyNumberFormat="1" applyFont="1" applyFill="1" applyBorder="1" applyAlignment="1">
      <alignment horizontal="right"/>
    </xf>
    <xf numFmtId="0" fontId="21" fillId="0" borderId="34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21" fillId="0" borderId="27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38" fontId="21" fillId="10" borderId="0" xfId="20" applyFont="1" applyFill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38" fontId="21" fillId="0" borderId="27" xfId="0" applyNumberFormat="1" applyFont="1" applyFill="1" applyBorder="1" applyAlignment="1">
      <alignment horizontal="right"/>
    </xf>
    <xf numFmtId="38" fontId="21" fillId="0" borderId="27" xfId="0" quotePrefix="1" applyNumberFormat="1" applyFont="1" applyFill="1" applyBorder="1" applyAlignment="1">
      <alignment horizontal="right"/>
    </xf>
    <xf numFmtId="0" fontId="21" fillId="0" borderId="26" xfId="25" applyFont="1" applyFill="1" applyBorder="1" applyAlignment="1">
      <alignment horizontal="center" vertical="center"/>
    </xf>
    <xf numFmtId="1" fontId="30" fillId="41" borderId="36" xfId="0" applyNumberFormat="1" applyFont="1" applyFill="1" applyBorder="1" applyAlignment="1">
      <alignment horizontal="center" vertical="center"/>
    </xf>
    <xf numFmtId="3" fontId="21" fillId="41" borderId="50" xfId="0" applyNumberFormat="1" applyFont="1" applyFill="1" applyBorder="1" applyAlignment="1">
      <alignment horizontal="right"/>
    </xf>
    <xf numFmtId="176" fontId="21" fillId="41" borderId="10" xfId="0" applyNumberFormat="1" applyFont="1" applyFill="1" applyBorder="1" applyAlignment="1">
      <alignment horizontal="right"/>
    </xf>
    <xf numFmtId="3" fontId="21" fillId="41" borderId="13" xfId="0" applyNumberFormat="1" applyFont="1" applyFill="1" applyBorder="1" applyAlignment="1">
      <alignment horizontal="right"/>
    </xf>
    <xf numFmtId="0" fontId="12" fillId="41" borderId="0" xfId="0" applyFont="1" applyFill="1" applyBorder="1"/>
    <xf numFmtId="0" fontId="30" fillId="41" borderId="75" xfId="0" applyFont="1" applyFill="1" applyBorder="1" applyAlignment="1">
      <alignment horizontal="center" vertical="center" textRotation="255"/>
    </xf>
    <xf numFmtId="0" fontId="30" fillId="41" borderId="77" xfId="0" applyFont="1" applyFill="1" applyBorder="1" applyAlignment="1">
      <alignment horizontal="center" vertical="center" textRotation="255"/>
    </xf>
    <xf numFmtId="1" fontId="30" fillId="41" borderId="20" xfId="0" applyNumberFormat="1" applyFont="1" applyFill="1" applyBorder="1" applyAlignment="1">
      <alignment horizontal="center" vertical="center"/>
    </xf>
    <xf numFmtId="3" fontId="21" fillId="41" borderId="2" xfId="0" applyNumberFormat="1" applyFont="1" applyFill="1" applyBorder="1" applyAlignment="1">
      <alignment horizontal="right"/>
    </xf>
    <xf numFmtId="0" fontId="30" fillId="41" borderId="21" xfId="0" applyFont="1" applyFill="1" applyBorder="1" applyAlignment="1">
      <alignment vertical="center" textRotation="255"/>
    </xf>
    <xf numFmtId="0" fontId="30" fillId="41" borderId="195" xfId="0" applyFont="1" applyFill="1" applyBorder="1" applyAlignment="1">
      <alignment horizontal="center" vertical="center" textRotation="255"/>
    </xf>
    <xf numFmtId="1" fontId="30" fillId="41" borderId="27" xfId="0" applyNumberFormat="1" applyFont="1" applyFill="1" applyBorder="1" applyAlignment="1">
      <alignment horizontal="center" vertical="center"/>
    </xf>
    <xf numFmtId="3" fontId="12" fillId="41" borderId="0" xfId="0" applyNumberFormat="1" applyFont="1" applyFill="1" applyBorder="1"/>
    <xf numFmtId="0" fontId="30" fillId="41" borderId="21" xfId="0" applyFont="1" applyFill="1" applyBorder="1" applyAlignment="1">
      <alignment horizontal="center" vertical="center" textRotation="255"/>
    </xf>
    <xf numFmtId="0" fontId="30" fillId="41" borderId="34" xfId="0" applyFont="1" applyFill="1" applyBorder="1" applyAlignment="1">
      <alignment vertical="center" textRotation="255"/>
    </xf>
    <xf numFmtId="0" fontId="30" fillId="41" borderId="35" xfId="0" applyFont="1" applyFill="1" applyBorder="1" applyAlignment="1">
      <alignment horizontal="center" vertical="center" textRotation="255"/>
    </xf>
    <xf numFmtId="3" fontId="21" fillId="41" borderId="202" xfId="0" applyNumberFormat="1" applyFont="1" applyFill="1" applyBorder="1" applyAlignment="1">
      <alignment horizontal="right"/>
    </xf>
    <xf numFmtId="38" fontId="69" fillId="0" borderId="27" xfId="20" applyFont="1" applyFill="1" applyBorder="1" applyAlignment="1">
      <alignment horizontal="center"/>
    </xf>
    <xf numFmtId="0" fontId="69" fillId="0" borderId="27" xfId="0" applyFont="1" applyFill="1" applyBorder="1" applyAlignment="1">
      <alignment horizontal="center"/>
    </xf>
    <xf numFmtId="176" fontId="68" fillId="0" borderId="37" xfId="0" applyNumberFormat="1" applyFont="1" applyBorder="1" applyAlignment="1">
      <alignment horizontal="right"/>
    </xf>
    <xf numFmtId="3" fontId="21" fillId="0" borderId="167" xfId="0" applyNumberFormat="1" applyFont="1" applyBorder="1" applyAlignment="1">
      <alignment horizontal="right"/>
    </xf>
    <xf numFmtId="3" fontId="21" fillId="0" borderId="26" xfId="0" applyNumberFormat="1" applyFont="1" applyBorder="1" applyAlignment="1">
      <alignment horizontal="right"/>
    </xf>
    <xf numFmtId="176" fontId="21" fillId="0" borderId="203" xfId="0" applyNumberFormat="1" applyFont="1" applyBorder="1" applyAlignment="1">
      <alignment horizontal="right"/>
    </xf>
    <xf numFmtId="176" fontId="68" fillId="0" borderId="204" xfId="0" applyNumberFormat="1" applyFont="1" applyBorder="1" applyAlignment="1">
      <alignment horizontal="right"/>
    </xf>
    <xf numFmtId="176" fontId="21" fillId="41" borderId="205" xfId="0" applyNumberFormat="1" applyFont="1" applyFill="1" applyBorder="1" applyAlignment="1">
      <alignment horizontal="right"/>
    </xf>
    <xf numFmtId="176" fontId="68" fillId="0" borderId="203" xfId="0" applyNumberFormat="1" applyFont="1" applyBorder="1" applyAlignment="1">
      <alignment horizontal="right"/>
    </xf>
    <xf numFmtId="176" fontId="21" fillId="0" borderId="206" xfId="0" applyNumberFormat="1" applyFont="1" applyBorder="1" applyAlignment="1">
      <alignment horizontal="right"/>
    </xf>
    <xf numFmtId="0" fontId="21" fillId="0" borderId="27" xfId="0" applyFont="1" applyBorder="1" applyAlignment="1">
      <alignment horizontal="right" vertical="top"/>
    </xf>
    <xf numFmtId="0" fontId="30" fillId="0" borderId="198" xfId="0" applyFont="1" applyFill="1" applyBorder="1" applyAlignment="1">
      <alignment horizontal="center" vertical="center"/>
    </xf>
    <xf numFmtId="0" fontId="30" fillId="0" borderId="192" xfId="0" applyFont="1" applyFill="1" applyBorder="1" applyAlignment="1">
      <alignment horizontal="center" vertical="center"/>
    </xf>
    <xf numFmtId="0" fontId="30" fillId="0" borderId="192" xfId="0" applyFont="1" applyFill="1" applyBorder="1" applyAlignment="1">
      <alignment vertical="center"/>
    </xf>
    <xf numFmtId="0" fontId="30" fillId="0" borderId="197" xfId="0" applyFont="1" applyFill="1" applyBorder="1" applyAlignment="1">
      <alignment horizontal="center" vertical="center"/>
    </xf>
    <xf numFmtId="0" fontId="30" fillId="0" borderId="193" xfId="0" applyFont="1" applyFill="1" applyBorder="1" applyAlignment="1">
      <alignment horizontal="center" vertical="center"/>
    </xf>
    <xf numFmtId="0" fontId="30" fillId="0" borderId="196" xfId="0" applyFont="1" applyFill="1" applyBorder="1" applyAlignment="1">
      <alignment horizontal="center" vertical="center"/>
    </xf>
    <xf numFmtId="0" fontId="30" fillId="0" borderId="195" xfId="0" applyFont="1" applyFill="1" applyBorder="1" applyAlignment="1">
      <alignment horizontal="center" vertical="center"/>
    </xf>
    <xf numFmtId="0" fontId="30" fillId="0" borderId="210" xfId="0" applyFont="1" applyFill="1" applyBorder="1" applyAlignment="1">
      <alignment horizontal="center" vertical="center" shrinkToFit="1"/>
    </xf>
    <xf numFmtId="0" fontId="21" fillId="0" borderId="211" xfId="0" applyFont="1" applyFill="1" applyBorder="1" applyAlignment="1">
      <alignment horizontal="right" vertical="top"/>
    </xf>
    <xf numFmtId="0" fontId="30" fillId="0" borderId="213" xfId="0" applyFont="1" applyFill="1" applyBorder="1" applyAlignment="1">
      <alignment horizontal="center" vertical="center" shrinkToFit="1"/>
    </xf>
    <xf numFmtId="0" fontId="21" fillId="0" borderId="214" xfId="0" applyFont="1" applyFill="1" applyBorder="1" applyAlignment="1">
      <alignment horizontal="right" vertical="top"/>
    </xf>
    <xf numFmtId="0" fontId="30" fillId="41" borderId="207" xfId="0" applyFont="1" applyFill="1" applyBorder="1" applyAlignment="1">
      <alignment horizontal="center" vertical="center" shrinkToFit="1"/>
    </xf>
    <xf numFmtId="0" fontId="21" fillId="41" borderId="208" xfId="0" applyFont="1" applyFill="1" applyBorder="1" applyAlignment="1">
      <alignment horizontal="right" vertical="top"/>
    </xf>
    <xf numFmtId="38" fontId="12" fillId="41" borderId="0" xfId="0" applyNumberFormat="1" applyFont="1" applyFill="1"/>
    <xf numFmtId="0" fontId="12" fillId="41" borderId="0" xfId="0" applyFont="1" applyFill="1"/>
    <xf numFmtId="0" fontId="30" fillId="41" borderId="176" xfId="0" applyFont="1" applyFill="1" applyBorder="1" applyAlignment="1">
      <alignment horizontal="center" vertical="center" shrinkToFit="1"/>
    </xf>
    <xf numFmtId="0" fontId="21" fillId="41" borderId="177" xfId="0" applyFont="1" applyFill="1" applyBorder="1" applyAlignment="1">
      <alignment horizontal="right" vertical="top"/>
    </xf>
    <xf numFmtId="0" fontId="30" fillId="41" borderId="173" xfId="0" applyFont="1" applyFill="1" applyBorder="1" applyAlignment="1">
      <alignment horizontal="center" vertical="center" shrinkToFit="1"/>
    </xf>
    <xf numFmtId="0" fontId="21" fillId="41" borderId="174" xfId="0" applyFont="1" applyFill="1" applyBorder="1" applyAlignment="1">
      <alignment horizontal="right" vertical="top"/>
    </xf>
    <xf numFmtId="0" fontId="30" fillId="41" borderId="143" xfId="0" applyFont="1" applyFill="1" applyBorder="1" applyAlignment="1">
      <alignment horizontal="center" vertical="center" shrinkToFit="1"/>
    </xf>
    <xf numFmtId="0" fontId="21" fillId="41" borderId="117" xfId="0" applyFont="1" applyFill="1" applyBorder="1" applyAlignment="1">
      <alignment horizontal="right" vertical="top"/>
    </xf>
    <xf numFmtId="38" fontId="21" fillId="41" borderId="209" xfId="20" applyFont="1" applyFill="1" applyBorder="1" applyAlignment="1">
      <alignment horizontal="right" vertical="center"/>
    </xf>
    <xf numFmtId="38" fontId="21" fillId="0" borderId="178" xfId="20" applyFont="1" applyFill="1" applyBorder="1" applyAlignment="1">
      <alignment horizontal="right" vertical="center"/>
    </xf>
    <xf numFmtId="38" fontId="21" fillId="41" borderId="178" xfId="20" applyFont="1" applyFill="1" applyBorder="1" applyAlignment="1">
      <alignment horizontal="right" vertical="center"/>
    </xf>
    <xf numFmtId="38" fontId="21" fillId="0" borderId="212" xfId="20" applyFont="1" applyFill="1" applyBorder="1" applyAlignment="1">
      <alignment horizontal="right" vertical="center"/>
    </xf>
    <xf numFmtId="38" fontId="21" fillId="41" borderId="175" xfId="20" applyFont="1" applyFill="1" applyBorder="1" applyAlignment="1">
      <alignment horizontal="right" vertical="center"/>
    </xf>
    <xf numFmtId="38" fontId="21" fillId="0" borderId="181" xfId="20" applyFont="1" applyFill="1" applyBorder="1" applyAlignment="1">
      <alignment horizontal="right" vertical="center"/>
    </xf>
    <xf numFmtId="38" fontId="21" fillId="41" borderId="116" xfId="20" applyFont="1" applyFill="1" applyBorder="1" applyAlignment="1">
      <alignment horizontal="right" vertical="center"/>
    </xf>
    <xf numFmtId="38" fontId="21" fillId="0" borderId="118" xfId="20" applyFont="1" applyFill="1" applyBorder="1" applyAlignment="1">
      <alignment horizontal="right" vertical="center"/>
    </xf>
    <xf numFmtId="38" fontId="21" fillId="0" borderId="59" xfId="20" applyFont="1" applyFill="1" applyBorder="1" applyAlignment="1">
      <alignment horizontal="right" vertical="center"/>
    </xf>
    <xf numFmtId="38" fontId="21" fillId="0" borderId="21" xfId="2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/>
    </xf>
    <xf numFmtId="0" fontId="43" fillId="0" borderId="0" xfId="0" applyFont="1" applyAlignment="1">
      <alignment horizontal="right" vertical="center"/>
    </xf>
    <xf numFmtId="0" fontId="43" fillId="0" borderId="0" xfId="0" applyFont="1" applyFill="1" applyAlignment="1">
      <alignment horizontal="right" vertical="center"/>
    </xf>
    <xf numFmtId="0" fontId="30" fillId="0" borderId="2" xfId="0" applyFont="1" applyBorder="1" applyAlignment="1">
      <alignment horizontal="left"/>
    </xf>
    <xf numFmtId="38" fontId="69" fillId="41" borderId="221" xfId="20" applyFont="1" applyFill="1" applyBorder="1" applyAlignment="1">
      <alignment horizontal="center" vertical="center"/>
    </xf>
    <xf numFmtId="38" fontId="69" fillId="41" borderId="68" xfId="20" applyFont="1" applyFill="1" applyBorder="1" applyAlignment="1">
      <alignment horizontal="center" vertical="center"/>
    </xf>
    <xf numFmtId="38" fontId="69" fillId="41" borderId="27" xfId="20" applyFont="1" applyFill="1" applyBorder="1" applyAlignment="1">
      <alignment horizontal="center" vertical="center"/>
    </xf>
    <xf numFmtId="38" fontId="21" fillId="0" borderId="222" xfId="20" applyFont="1" applyFill="1" applyBorder="1" applyAlignment="1">
      <alignment horizontal="right" vertical="center"/>
    </xf>
    <xf numFmtId="38" fontId="21" fillId="0" borderId="170" xfId="20" applyFont="1" applyFill="1" applyBorder="1" applyAlignment="1">
      <alignment horizontal="right" vertical="center"/>
    </xf>
    <xf numFmtId="38" fontId="21" fillId="0" borderId="215" xfId="20" applyFont="1" applyFill="1" applyBorder="1" applyAlignment="1">
      <alignment horizontal="right" vertical="center"/>
    </xf>
    <xf numFmtId="38" fontId="21" fillId="0" borderId="217" xfId="20" applyFont="1" applyFill="1" applyBorder="1" applyAlignment="1">
      <alignment horizontal="right" vertical="center"/>
    </xf>
    <xf numFmtId="38" fontId="21" fillId="0" borderId="219" xfId="20" applyFont="1" applyFill="1" applyBorder="1" applyAlignment="1">
      <alignment horizontal="right" vertical="center"/>
    </xf>
    <xf numFmtId="38" fontId="21" fillId="0" borderId="220" xfId="20" applyFont="1" applyFill="1" applyBorder="1" applyAlignment="1">
      <alignment horizontal="right" vertical="center"/>
    </xf>
    <xf numFmtId="38" fontId="21" fillId="0" borderId="218" xfId="20" applyFont="1" applyFill="1" applyBorder="1" applyAlignment="1">
      <alignment horizontal="right" vertical="center"/>
    </xf>
    <xf numFmtId="38" fontId="21" fillId="0" borderId="216" xfId="20" applyFont="1" applyFill="1" applyBorder="1" applyAlignment="1">
      <alignment horizontal="right" vertical="center"/>
    </xf>
    <xf numFmtId="38" fontId="21" fillId="0" borderId="223" xfId="20" applyFont="1" applyFill="1" applyBorder="1" applyAlignment="1">
      <alignment horizontal="right" vertical="center"/>
    </xf>
    <xf numFmtId="38" fontId="21" fillId="0" borderId="224" xfId="20" applyFont="1" applyFill="1" applyBorder="1" applyAlignment="1">
      <alignment horizontal="right" vertical="center"/>
    </xf>
    <xf numFmtId="0" fontId="60" fillId="0" borderId="0" xfId="0" applyFont="1"/>
    <xf numFmtId="0" fontId="69" fillId="0" borderId="27" xfId="0" applyFont="1" applyFill="1" applyBorder="1" applyAlignment="1">
      <alignment horizontal="center" vertical="center"/>
    </xf>
    <xf numFmtId="0" fontId="30" fillId="41" borderId="34" xfId="0" applyFont="1" applyFill="1" applyBorder="1" applyAlignment="1">
      <alignment horizontal="centerContinuous"/>
    </xf>
    <xf numFmtId="0" fontId="30" fillId="41" borderId="0" xfId="0" applyFont="1" applyFill="1" applyAlignment="1">
      <alignment horizontal="centerContinuous"/>
    </xf>
    <xf numFmtId="0" fontId="30" fillId="41" borderId="35" xfId="0" applyFont="1" applyFill="1" applyBorder="1" applyAlignment="1">
      <alignment horizontal="centerContinuous"/>
    </xf>
    <xf numFmtId="1" fontId="30" fillId="41" borderId="21" xfId="0" applyNumberFormat="1" applyFont="1" applyFill="1" applyBorder="1" applyAlignment="1">
      <alignment horizontal="center" vertical="center"/>
    </xf>
    <xf numFmtId="38" fontId="21" fillId="41" borderId="55" xfId="20" applyFont="1" applyFill="1" applyBorder="1" applyAlignment="1">
      <alignment vertical="center"/>
    </xf>
    <xf numFmtId="38" fontId="21" fillId="41" borderId="55" xfId="20" applyFont="1" applyFill="1" applyBorder="1" applyAlignment="1">
      <alignment horizontal="right" vertical="center"/>
    </xf>
    <xf numFmtId="38" fontId="21" fillId="41" borderId="0" xfId="20" applyFont="1" applyFill="1" applyBorder="1" applyAlignment="1">
      <alignment vertical="center"/>
    </xf>
    <xf numFmtId="176" fontId="21" fillId="41" borderId="35" xfId="20" applyNumberFormat="1" applyFont="1" applyFill="1" applyBorder="1" applyAlignment="1">
      <alignment vertical="center"/>
    </xf>
    <xf numFmtId="38" fontId="21" fillId="41" borderId="0" xfId="20" applyFont="1" applyFill="1" applyBorder="1" applyAlignment="1">
      <alignment horizontal="center" vertical="center"/>
    </xf>
    <xf numFmtId="0" fontId="23" fillId="41" borderId="55" xfId="0" applyFont="1" applyFill="1" applyBorder="1" applyAlignment="1">
      <alignment vertical="center"/>
    </xf>
    <xf numFmtId="176" fontId="21" fillId="41" borderId="35" xfId="20" applyNumberFormat="1" applyFont="1" applyFill="1" applyBorder="1" applyAlignment="1">
      <alignment horizontal="center" vertical="center"/>
    </xf>
    <xf numFmtId="2" fontId="21" fillId="41" borderId="0" xfId="20" applyNumberFormat="1" applyFont="1" applyFill="1" applyBorder="1" applyAlignment="1">
      <alignment horizontal="center" vertical="center"/>
    </xf>
    <xf numFmtId="38" fontId="12" fillId="41" borderId="0" xfId="20" applyFont="1" applyFill="1"/>
    <xf numFmtId="0" fontId="30" fillId="41" borderId="21" xfId="0" applyFont="1" applyFill="1" applyBorder="1"/>
    <xf numFmtId="0" fontId="30" fillId="41" borderId="0" xfId="0" applyFont="1" applyFill="1" applyAlignment="1">
      <alignment horizontal="left"/>
    </xf>
    <xf numFmtId="0" fontId="30" fillId="41" borderId="0" xfId="0" applyFont="1" applyFill="1" applyAlignment="1">
      <alignment horizontal="centerContinuous" vertical="top"/>
    </xf>
    <xf numFmtId="0" fontId="30" fillId="41" borderId="35" xfId="0" applyFont="1" applyFill="1" applyBorder="1" applyAlignment="1">
      <alignment horizontal="left"/>
    </xf>
    <xf numFmtId="1" fontId="30" fillId="41" borderId="35" xfId="0" applyNumberFormat="1" applyFont="1" applyFill="1" applyBorder="1" applyAlignment="1">
      <alignment horizontal="center" vertical="center"/>
    </xf>
    <xf numFmtId="38" fontId="21" fillId="41" borderId="0" xfId="20" applyFont="1" applyFill="1" applyBorder="1" applyAlignment="1">
      <alignment horizontal="right" vertical="center"/>
    </xf>
    <xf numFmtId="38" fontId="21" fillId="41" borderId="55" xfId="20" applyFont="1" applyFill="1" applyBorder="1" applyAlignment="1">
      <alignment horizontal="centerContinuous" vertical="center"/>
    </xf>
    <xf numFmtId="38" fontId="21" fillId="41" borderId="34" xfId="20" applyFont="1" applyFill="1" applyBorder="1" applyAlignment="1">
      <alignment horizontal="right" vertical="center"/>
    </xf>
    <xf numFmtId="176" fontId="21" fillId="41" borderId="56" xfId="20" applyNumberFormat="1" applyFont="1" applyFill="1" applyBorder="1" applyAlignment="1">
      <alignment horizontal="center" vertical="center"/>
    </xf>
    <xf numFmtId="0" fontId="23" fillId="41" borderId="55" xfId="0" applyFont="1" applyFill="1" applyBorder="1" applyAlignment="1">
      <alignment horizontal="right" vertical="center"/>
    </xf>
    <xf numFmtId="176" fontId="21" fillId="41" borderId="58" xfId="20" applyNumberFormat="1" applyFont="1" applyFill="1" applyBorder="1" applyAlignment="1">
      <alignment horizontal="center" vertical="center"/>
    </xf>
    <xf numFmtId="2" fontId="21" fillId="41" borderId="0" xfId="20" applyNumberFormat="1" applyFont="1" applyFill="1" applyAlignment="1">
      <alignment horizontal="center" vertical="center"/>
    </xf>
    <xf numFmtId="0" fontId="26" fillId="41" borderId="35" xfId="0" applyFont="1" applyFill="1" applyBorder="1" applyAlignment="1">
      <alignment vertical="center"/>
    </xf>
    <xf numFmtId="0" fontId="0" fillId="41" borderId="35" xfId="0" applyFont="1" applyFill="1" applyBorder="1" applyAlignment="1">
      <alignment vertical="center"/>
    </xf>
    <xf numFmtId="176" fontId="21" fillId="41" borderId="225" xfId="20" applyNumberFormat="1" applyFont="1" applyFill="1" applyBorder="1" applyAlignment="1">
      <alignment horizontal="center" vertical="center"/>
    </xf>
    <xf numFmtId="0" fontId="30" fillId="41" borderId="34" xfId="0" applyFont="1" applyFill="1" applyBorder="1" applyAlignment="1">
      <alignment horizontal="centerContinuous" vertical="top"/>
    </xf>
    <xf numFmtId="0" fontId="30" fillId="41" borderId="35" xfId="0" applyFont="1" applyFill="1" applyBorder="1" applyAlignment="1">
      <alignment horizontal="centerContinuous" vertical="top"/>
    </xf>
    <xf numFmtId="38" fontId="21" fillId="41" borderId="0" xfId="20" applyFont="1" applyFill="1" applyAlignment="1">
      <alignment horizontal="right" vertical="center"/>
    </xf>
    <xf numFmtId="38" fontId="21" fillId="41" borderId="34" xfId="20" applyFont="1" applyFill="1" applyBorder="1" applyAlignment="1">
      <alignment horizontal="center" vertical="center"/>
    </xf>
    <xf numFmtId="38" fontId="21" fillId="41" borderId="0" xfId="20" applyFont="1" applyFill="1" applyAlignment="1">
      <alignment horizontal="center" vertical="center"/>
    </xf>
    <xf numFmtId="0" fontId="23" fillId="41" borderId="55" xfId="0" applyFont="1" applyFill="1" applyBorder="1" applyAlignment="1">
      <alignment horizontal="center" vertical="center"/>
    </xf>
    <xf numFmtId="0" fontId="30" fillId="10" borderId="196" xfId="0" applyFont="1" applyFill="1" applyBorder="1" applyAlignment="1">
      <alignment horizontal="left" vertical="center"/>
    </xf>
    <xf numFmtId="0" fontId="30" fillId="10" borderId="34" xfId="0" applyFont="1" applyFill="1" applyBorder="1" applyAlignment="1">
      <alignment horizontal="left" vertical="center"/>
    </xf>
    <xf numFmtId="1" fontId="30" fillId="10" borderId="21" xfId="0" applyNumberFormat="1" applyFont="1" applyFill="1" applyBorder="1" applyAlignment="1">
      <alignment horizontal="center" vertical="center"/>
    </xf>
    <xf numFmtId="0" fontId="30" fillId="10" borderId="198" xfId="0" applyFont="1" applyFill="1" applyBorder="1" applyAlignment="1">
      <alignment horizontal="left" vertical="center"/>
    </xf>
    <xf numFmtId="0" fontId="30" fillId="10" borderId="197" xfId="0" applyFont="1" applyFill="1" applyBorder="1" applyAlignment="1">
      <alignment horizontal="left" vertical="center"/>
    </xf>
    <xf numFmtId="1" fontId="30" fillId="10" borderId="195" xfId="0" applyNumberFormat="1" applyFont="1" applyFill="1" applyBorder="1" applyAlignment="1">
      <alignment horizontal="center" vertical="center"/>
    </xf>
    <xf numFmtId="38" fontId="69" fillId="10" borderId="196" xfId="20" applyFont="1" applyFill="1" applyBorder="1" applyAlignment="1">
      <alignment horizontal="center" vertical="center"/>
    </xf>
    <xf numFmtId="0" fontId="69" fillId="0" borderId="0" xfId="0" applyFont="1" applyFill="1"/>
    <xf numFmtId="0" fontId="67" fillId="0" borderId="0" xfId="8" applyFont="1" applyAlignment="1">
      <alignment horizontal="right"/>
    </xf>
    <xf numFmtId="0" fontId="60" fillId="0" borderId="0" xfId="0" applyFont="1" applyAlignment="1">
      <alignment horizontal="center"/>
    </xf>
    <xf numFmtId="38" fontId="69" fillId="0" borderId="28" xfId="20" applyFont="1" applyFill="1" applyBorder="1" applyAlignment="1">
      <alignment horizontal="center" vertical="center"/>
    </xf>
    <xf numFmtId="1" fontId="30" fillId="0" borderId="27" xfId="0" applyNumberFormat="1" applyFont="1" applyFill="1" applyBorder="1" applyAlignment="1">
      <alignment horizontal="center" vertical="center"/>
    </xf>
    <xf numFmtId="178" fontId="69" fillId="0" borderId="27" xfId="20" applyNumberFormat="1" applyFont="1" applyFill="1" applyBorder="1" applyAlignment="1">
      <alignment horizontal="center" vertical="center"/>
    </xf>
    <xf numFmtId="38" fontId="45" fillId="0" borderId="193" xfId="20" applyFont="1" applyFill="1" applyBorder="1" applyAlignment="1">
      <alignment horizontal="right" vertical="center"/>
    </xf>
    <xf numFmtId="178" fontId="69" fillId="0" borderId="28" xfId="20" applyNumberFormat="1" applyFont="1" applyFill="1" applyBorder="1" applyAlignment="1">
      <alignment horizontal="center" vertical="center"/>
    </xf>
    <xf numFmtId="38" fontId="69" fillId="0" borderId="192" xfId="20" applyFont="1" applyFill="1" applyBorder="1" applyAlignment="1">
      <alignment horizontal="center" vertical="center"/>
    </xf>
    <xf numFmtId="38" fontId="45" fillId="0" borderId="192" xfId="20" applyFont="1" applyFill="1" applyBorder="1" applyAlignment="1">
      <alignment horizontal="right" vertical="center"/>
    </xf>
    <xf numFmtId="38" fontId="21" fillId="0" borderId="193" xfId="20" applyFont="1" applyFill="1" applyBorder="1" applyAlignment="1">
      <alignment horizontal="right" vertical="center"/>
    </xf>
    <xf numFmtId="38" fontId="21" fillId="0" borderId="192" xfId="20" applyFont="1" applyFill="1" applyBorder="1" applyAlignment="1">
      <alignment horizontal="right" vertical="center"/>
    </xf>
    <xf numFmtId="38" fontId="21" fillId="0" borderId="186" xfId="20" applyFont="1" applyFill="1" applyBorder="1" applyAlignment="1">
      <alignment vertical="center"/>
    </xf>
    <xf numFmtId="0" fontId="30" fillId="0" borderId="192" xfId="0" applyFont="1" applyFill="1" applyBorder="1" applyAlignment="1">
      <alignment horizontal="center" vertical="center" wrapText="1"/>
    </xf>
    <xf numFmtId="0" fontId="30" fillId="0" borderId="226" xfId="0" applyFont="1" applyFill="1" applyBorder="1" applyAlignment="1">
      <alignment horizontal="center" vertical="center" wrapText="1"/>
    </xf>
    <xf numFmtId="38" fontId="12" fillId="0" borderId="0" xfId="23" applyFont="1" applyAlignment="1">
      <alignment horizontal="right"/>
    </xf>
    <xf numFmtId="38" fontId="53" fillId="11" borderId="87" xfId="23" quotePrefix="1" applyFont="1" applyFill="1" applyBorder="1" applyAlignment="1"/>
    <xf numFmtId="38" fontId="53" fillId="0" borderId="87" xfId="23" quotePrefix="1" applyFont="1" applyBorder="1" applyAlignment="1"/>
    <xf numFmtId="38" fontId="53" fillId="0" borderId="90" xfId="23" quotePrefix="1" applyFont="1" applyBorder="1" applyAlignment="1"/>
    <xf numFmtId="38" fontId="53" fillId="0" borderId="87" xfId="23" applyFont="1" applyBorder="1" applyAlignment="1"/>
    <xf numFmtId="38" fontId="53" fillId="0" borderId="90" xfId="23" applyFont="1" applyBorder="1" applyAlignment="1"/>
    <xf numFmtId="38" fontId="45" fillId="0" borderId="100" xfId="23" applyFont="1" applyBorder="1" applyAlignment="1">
      <alignment horizontal="right"/>
    </xf>
    <xf numFmtId="38" fontId="45" fillId="0" borderId="29" xfId="23" applyFont="1" applyBorder="1" applyAlignment="1">
      <alignment horizontal="right"/>
    </xf>
    <xf numFmtId="38" fontId="45" fillId="14" borderId="29" xfId="23" applyFont="1" applyFill="1" applyBorder="1" applyAlignment="1">
      <alignment horizontal="right"/>
    </xf>
    <xf numFmtId="38" fontId="45" fillId="15" borderId="29" xfId="23" applyFont="1" applyFill="1" applyBorder="1" applyAlignment="1">
      <alignment horizontal="right"/>
    </xf>
    <xf numFmtId="38" fontId="21" fillId="15" borderId="193" xfId="23" applyFont="1" applyFill="1" applyBorder="1" applyAlignment="1">
      <alignment horizontal="right"/>
    </xf>
    <xf numFmtId="38" fontId="21" fillId="16" borderId="193" xfId="23" applyFont="1" applyFill="1" applyBorder="1" applyAlignment="1">
      <alignment horizontal="right"/>
    </xf>
    <xf numFmtId="38" fontId="58" fillId="20" borderId="83" xfId="23" applyFont="1" applyFill="1" applyBorder="1" applyAlignment="1">
      <alignment horizontal="right"/>
    </xf>
    <xf numFmtId="38" fontId="21" fillId="0" borderId="29" xfId="23" applyFont="1" applyBorder="1" applyAlignment="1">
      <alignment horizontal="right"/>
    </xf>
    <xf numFmtId="38" fontId="45" fillId="0" borderId="192" xfId="23" applyFont="1" applyBorder="1" applyAlignment="1">
      <alignment horizontal="right"/>
    </xf>
    <xf numFmtId="38" fontId="21" fillId="0" borderId="193" xfId="23" applyFont="1" applyBorder="1" applyAlignment="1">
      <alignment horizontal="right"/>
    </xf>
    <xf numFmtId="38" fontId="45" fillId="0" borderId="193" xfId="23" applyFont="1" applyBorder="1" applyAlignment="1">
      <alignment horizontal="right"/>
    </xf>
    <xf numFmtId="38" fontId="15" fillId="0" borderId="0" xfId="23" applyFont="1" applyAlignment="1"/>
    <xf numFmtId="38" fontId="58" fillId="20" borderId="82" xfId="23" applyFont="1" applyFill="1" applyBorder="1" applyAlignment="1">
      <alignment horizontal="right"/>
    </xf>
    <xf numFmtId="38" fontId="45" fillId="0" borderId="27" xfId="23" applyFont="1" applyBorder="1" applyAlignment="1">
      <alignment horizontal="right"/>
    </xf>
    <xf numFmtId="38" fontId="45" fillId="11" borderId="29" xfId="23" applyFont="1" applyFill="1" applyBorder="1" applyAlignment="1">
      <alignment horizontal="right"/>
    </xf>
    <xf numFmtId="38" fontId="21" fillId="0" borderId="193" xfId="23" applyFont="1" applyBorder="1" applyAlignment="1"/>
    <xf numFmtId="38" fontId="12" fillId="0" borderId="0" xfId="23" applyFont="1" applyAlignment="1"/>
    <xf numFmtId="38" fontId="21" fillId="41" borderId="27" xfId="23" applyFont="1" applyFill="1" applyBorder="1" applyAlignment="1">
      <alignment horizontal="center"/>
    </xf>
    <xf numFmtId="38" fontId="12" fillId="0" borderId="27" xfId="23" applyFont="1" applyFill="1" applyBorder="1" applyAlignment="1">
      <alignment horizontal="center"/>
    </xf>
    <xf numFmtId="38" fontId="12" fillId="0" borderId="221" xfId="23" applyFont="1" applyBorder="1" applyAlignment="1">
      <alignment horizontal="right"/>
    </xf>
    <xf numFmtId="38" fontId="21" fillId="0" borderId="27" xfId="23" applyFont="1" applyFill="1" applyBorder="1" applyAlignment="1">
      <alignment horizontal="right"/>
    </xf>
    <xf numFmtId="38" fontId="21" fillId="0" borderId="27" xfId="23" applyFont="1" applyFill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9" fillId="0" borderId="28" xfId="0" applyFont="1" applyFill="1" applyBorder="1" applyAlignment="1">
      <alignment horizontal="center" vertical="center"/>
    </xf>
    <xf numFmtId="38" fontId="21" fillId="0" borderId="28" xfId="23" applyFont="1" applyFill="1" applyBorder="1" applyAlignment="1">
      <alignment horizontal="right"/>
    </xf>
    <xf numFmtId="0" fontId="69" fillId="0" borderId="27" xfId="0" applyFont="1" applyBorder="1" applyAlignment="1">
      <alignment horizontal="center" vertical="center"/>
    </xf>
    <xf numFmtId="38" fontId="21" fillId="42" borderId="114" xfId="20" applyFont="1" applyFill="1" applyBorder="1" applyAlignment="1">
      <alignment horizontal="right" vertical="center"/>
    </xf>
    <xf numFmtId="38" fontId="21" fillId="42" borderId="69" xfId="20" applyFont="1" applyFill="1" applyBorder="1" applyAlignment="1">
      <alignment horizontal="right" vertical="center"/>
    </xf>
    <xf numFmtId="38" fontId="21" fillId="42" borderId="59" xfId="20" applyFont="1" applyFill="1" applyBorder="1" applyAlignment="1">
      <alignment horizontal="right" vertical="center"/>
    </xf>
    <xf numFmtId="38" fontId="21" fillId="42" borderId="21" xfId="20" applyFont="1" applyFill="1" applyBorder="1" applyAlignment="1">
      <alignment horizontal="right" vertical="center"/>
    </xf>
    <xf numFmtId="38" fontId="21" fillId="42" borderId="118" xfId="20" applyFont="1" applyFill="1" applyBorder="1" applyAlignment="1">
      <alignment horizontal="right" vertical="center"/>
    </xf>
    <xf numFmtId="194" fontId="12" fillId="0" borderId="37" xfId="0" applyNumberFormat="1" applyFont="1" applyBorder="1" applyAlignment="1">
      <alignment horizontal="center" vertical="center"/>
    </xf>
    <xf numFmtId="195" fontId="21" fillId="0" borderId="40" xfId="21" applyNumberFormat="1" applyFont="1" applyBorder="1"/>
    <xf numFmtId="195" fontId="21" fillId="0" borderId="35" xfId="21" applyNumberFormat="1" applyFont="1" applyBorder="1"/>
    <xf numFmtId="195" fontId="21" fillId="0" borderId="35" xfId="21" applyNumberFormat="1" applyFont="1" applyFill="1" applyBorder="1"/>
    <xf numFmtId="195" fontId="43" fillId="20" borderId="103" xfId="21" applyNumberFormat="1" applyFont="1" applyFill="1" applyBorder="1"/>
    <xf numFmtId="195" fontId="43" fillId="20" borderId="102" xfId="21" applyNumberFormat="1" applyFont="1" applyFill="1" applyBorder="1"/>
    <xf numFmtId="195" fontId="43" fillId="20" borderId="107" xfId="21" applyNumberFormat="1" applyFont="1" applyFill="1" applyBorder="1"/>
    <xf numFmtId="195" fontId="21" fillId="14" borderId="40" xfId="21" applyNumberFormat="1" applyFont="1" applyFill="1" applyBorder="1"/>
    <xf numFmtId="195" fontId="21" fillId="15" borderId="40" xfId="21" applyNumberFormat="1" applyFont="1" applyFill="1" applyBorder="1"/>
    <xf numFmtId="195" fontId="21" fillId="16" borderId="40" xfId="21" applyNumberFormat="1" applyFont="1" applyFill="1" applyBorder="1"/>
    <xf numFmtId="195" fontId="43" fillId="14" borderId="102" xfId="21" applyNumberFormat="1" applyFont="1" applyFill="1" applyBorder="1"/>
    <xf numFmtId="195" fontId="43" fillId="15" borderId="102" xfId="21" applyNumberFormat="1" applyFont="1" applyFill="1" applyBorder="1"/>
    <xf numFmtId="195" fontId="43" fillId="16" borderId="102" xfId="21" applyNumberFormat="1" applyFont="1" applyFill="1" applyBorder="1"/>
    <xf numFmtId="0" fontId="69" fillId="0" borderId="0" xfId="0" applyFont="1" applyBorder="1" applyAlignment="1">
      <alignment horizontal="center"/>
    </xf>
    <xf numFmtId="0" fontId="21" fillId="0" borderId="0" xfId="0" applyFont="1" applyBorder="1"/>
    <xf numFmtId="38" fontId="21" fillId="0" borderId="0" xfId="23" applyFont="1" applyBorder="1" applyAlignment="1"/>
    <xf numFmtId="38" fontId="21" fillId="0" borderId="0" xfId="23" applyFont="1" applyAlignment="1"/>
    <xf numFmtId="0" fontId="21" fillId="0" borderId="0" xfId="0" applyFont="1"/>
    <xf numFmtId="38" fontId="21" fillId="0" borderId="221" xfId="0" applyNumberFormat="1" applyFont="1" applyBorder="1" applyAlignment="1">
      <alignment horizontal="right"/>
    </xf>
    <xf numFmtId="0" fontId="69" fillId="0" borderId="0" xfId="21" applyFont="1" applyAlignment="1">
      <alignment horizontal="center" vertical="center"/>
    </xf>
    <xf numFmtId="0" fontId="69" fillId="0" borderId="0" xfId="21" applyFont="1" applyAlignment="1">
      <alignment horizontal="center"/>
    </xf>
    <xf numFmtId="0" fontId="65" fillId="0" borderId="0" xfId="21" applyFont="1" applyAlignment="1">
      <alignment horizontal="center"/>
    </xf>
    <xf numFmtId="0" fontId="69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1" fillId="0" borderId="27" xfId="0" applyFont="1" applyBorder="1" applyAlignment="1">
      <alignment horizontal="center"/>
    </xf>
    <xf numFmtId="38" fontId="21" fillId="0" borderId="27" xfId="23" applyFont="1" applyBorder="1" applyAlignment="1">
      <alignment horizontal="right"/>
    </xf>
    <xf numFmtId="0" fontId="43" fillId="0" borderId="0" xfId="0" applyFont="1" applyBorder="1"/>
    <xf numFmtId="0" fontId="43" fillId="0" borderId="27" xfId="0" applyFont="1" applyBorder="1"/>
    <xf numFmtId="0" fontId="43" fillId="0" borderId="27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0" fillId="41" borderId="27" xfId="0" applyFont="1" applyFill="1" applyBorder="1" applyAlignment="1">
      <alignment horizontal="center" vertical="center"/>
    </xf>
    <xf numFmtId="38" fontId="21" fillId="0" borderId="27" xfId="23" applyFont="1" applyFill="1" applyBorder="1" applyAlignment="1">
      <alignment horizontal="center"/>
    </xf>
    <xf numFmtId="38" fontId="21" fillId="10" borderId="0" xfId="20" applyFont="1" applyFill="1" applyBorder="1" applyAlignment="1">
      <alignment vertical="center"/>
    </xf>
    <xf numFmtId="38" fontId="21" fillId="0" borderId="67" xfId="20" applyFont="1" applyBorder="1" applyAlignment="1">
      <alignment vertical="center"/>
    </xf>
    <xf numFmtId="38" fontId="21" fillId="0" borderId="70" xfId="20" applyFont="1" applyBorder="1" applyAlignment="1">
      <alignment horizontal="right" vertical="center"/>
    </xf>
    <xf numFmtId="178" fontId="21" fillId="0" borderId="70" xfId="20" applyNumberFormat="1" applyFont="1" applyFill="1" applyBorder="1" applyAlignment="1">
      <alignment horizontal="right" vertical="center"/>
    </xf>
    <xf numFmtId="38" fontId="21" fillId="0" borderId="64" xfId="20" applyFont="1" applyFill="1" applyBorder="1" applyAlignment="1">
      <alignment horizontal="right" vertical="center"/>
    </xf>
    <xf numFmtId="178" fontId="21" fillId="0" borderId="75" xfId="20" applyNumberFormat="1" applyFont="1" applyFill="1" applyBorder="1" applyAlignment="1">
      <alignment horizontal="right" vertical="center"/>
    </xf>
    <xf numFmtId="178" fontId="21" fillId="0" borderId="28" xfId="20" applyNumberFormat="1" applyFont="1" applyFill="1" applyBorder="1" applyAlignment="1">
      <alignment horizontal="center" vertical="center"/>
    </xf>
    <xf numFmtId="38" fontId="21" fillId="0" borderId="192" xfId="20" applyFont="1" applyFill="1" applyBorder="1" applyAlignment="1">
      <alignment horizontal="center" vertical="center"/>
    </xf>
    <xf numFmtId="193" fontId="43" fillId="11" borderId="86" xfId="23" applyNumberFormat="1" applyFont="1" applyFill="1" applyBorder="1" applyAlignment="1">
      <alignment horizontal="right"/>
    </xf>
    <xf numFmtId="193" fontId="43" fillId="11" borderId="0" xfId="23" applyNumberFormat="1" applyFont="1" applyFill="1" applyBorder="1" applyAlignment="1">
      <alignment horizontal="right"/>
    </xf>
    <xf numFmtId="193" fontId="43" fillId="11" borderId="88" xfId="23" applyNumberFormat="1" applyFont="1" applyFill="1" applyBorder="1" applyAlignment="1">
      <alignment horizontal="right"/>
    </xf>
    <xf numFmtId="193" fontId="43" fillId="11" borderId="89" xfId="23" applyNumberFormat="1" applyFont="1" applyFill="1" applyBorder="1" applyAlignment="1">
      <alignment horizontal="right"/>
    </xf>
    <xf numFmtId="193" fontId="43" fillId="11" borderId="91" xfId="23" applyNumberFormat="1" applyFont="1" applyFill="1" applyBorder="1" applyAlignment="1">
      <alignment horizontal="right"/>
    </xf>
    <xf numFmtId="193" fontId="43" fillId="11" borderId="92" xfId="23" applyNumberFormat="1" applyFont="1" applyFill="1" applyBorder="1" applyAlignment="1">
      <alignment horizontal="right"/>
    </xf>
    <xf numFmtId="38" fontId="12" fillId="0" borderId="190" xfId="23" applyFont="1" applyBorder="1" applyAlignment="1">
      <alignment horizontal="right" vertical="center"/>
    </xf>
    <xf numFmtId="190" fontId="12" fillId="0" borderId="27" xfId="23" applyNumberFormat="1" applyFont="1" applyBorder="1" applyAlignment="1">
      <alignment horizontal="right" vertical="center"/>
    </xf>
    <xf numFmtId="38" fontId="21" fillId="0" borderId="0" xfId="23" applyFont="1" applyAlignment="1">
      <alignment horizontal="right"/>
    </xf>
    <xf numFmtId="38" fontId="21" fillId="0" borderId="0" xfId="23" quotePrefix="1" applyFont="1" applyAlignment="1">
      <alignment horizontal="center"/>
    </xf>
    <xf numFmtId="0" fontId="21" fillId="0" borderId="0" xfId="0" applyFont="1" applyAlignment="1">
      <alignment horizontal="right"/>
    </xf>
    <xf numFmtId="0" fontId="60" fillId="0" borderId="27" xfId="0" applyFont="1" applyBorder="1" applyAlignment="1">
      <alignment horizontal="center"/>
    </xf>
    <xf numFmtId="38" fontId="21" fillId="0" borderId="0" xfId="23" applyFont="1" applyBorder="1" applyAlignment="1">
      <alignment horizontal="right"/>
    </xf>
    <xf numFmtId="38" fontId="21" fillId="0" borderId="0" xfId="23" quotePrefix="1" applyFont="1" applyBorder="1" applyAlignment="1">
      <alignment horizontal="center"/>
    </xf>
    <xf numFmtId="38" fontId="21" fillId="0" borderId="0" xfId="23" applyFont="1" applyAlignment="1">
      <alignment horizontal="center"/>
    </xf>
    <xf numFmtId="183" fontId="21" fillId="0" borderId="125" xfId="0" applyNumberFormat="1" applyFont="1" applyBorder="1" applyAlignment="1">
      <alignment horizontal="right"/>
    </xf>
    <xf numFmtId="183" fontId="21" fillId="0" borderId="129" xfId="0" applyNumberFormat="1" applyFont="1" applyBorder="1" applyAlignment="1">
      <alignment horizontal="right"/>
    </xf>
    <xf numFmtId="183" fontId="21" fillId="0" borderId="66" xfId="0" applyNumberFormat="1" applyFont="1" applyBorder="1" applyAlignment="1">
      <alignment horizontal="right"/>
    </xf>
    <xf numFmtId="184" fontId="21" fillId="0" borderId="125" xfId="0" applyNumberFormat="1" applyFont="1" applyBorder="1" applyAlignment="1">
      <alignment horizontal="right"/>
    </xf>
    <xf numFmtId="184" fontId="21" fillId="0" borderId="129" xfId="0" applyNumberFormat="1" applyFont="1" applyBorder="1" applyAlignment="1">
      <alignment horizontal="right"/>
    </xf>
    <xf numFmtId="184" fontId="21" fillId="0" borderId="66" xfId="0" applyNumberFormat="1" applyFont="1" applyBorder="1" applyAlignment="1">
      <alignment horizontal="right"/>
    </xf>
    <xf numFmtId="38" fontId="21" fillId="0" borderId="125" xfId="0" applyNumberFormat="1" applyFont="1" applyBorder="1" applyAlignment="1">
      <alignment horizontal="right"/>
    </xf>
    <xf numFmtId="38" fontId="21" fillId="0" borderId="129" xfId="0" applyNumberFormat="1" applyFont="1" applyBorder="1" applyAlignment="1">
      <alignment horizontal="right"/>
    </xf>
    <xf numFmtId="38" fontId="21" fillId="0" borderId="66" xfId="0" applyNumberFormat="1" applyFont="1" applyBorder="1" applyAlignment="1">
      <alignment horizontal="right"/>
    </xf>
    <xf numFmtId="38" fontId="21" fillId="41" borderId="27" xfId="23" applyFont="1" applyFill="1" applyBorder="1" applyAlignment="1">
      <alignment horizontal="right"/>
    </xf>
    <xf numFmtId="38" fontId="30" fillId="41" borderId="27" xfId="23" applyFont="1" applyFill="1" applyBorder="1" applyAlignment="1">
      <alignment horizontal="center"/>
    </xf>
    <xf numFmtId="38" fontId="31" fillId="41" borderId="27" xfId="23" applyFont="1" applyFill="1" applyBorder="1" applyAlignment="1">
      <alignment horizontal="center"/>
    </xf>
    <xf numFmtId="38" fontId="30" fillId="41" borderId="27" xfId="23" applyFont="1" applyFill="1" applyBorder="1" applyAlignment="1">
      <alignment horizontal="center" vertical="center"/>
    </xf>
    <xf numFmtId="38" fontId="43" fillId="41" borderId="27" xfId="23" applyFont="1" applyFill="1" applyBorder="1" applyAlignment="1">
      <alignment horizontal="center" vertical="center"/>
    </xf>
    <xf numFmtId="38" fontId="21" fillId="0" borderId="221" xfId="23" applyFont="1" applyFill="1" applyBorder="1" applyAlignment="1">
      <alignment horizontal="right" vertical="center"/>
    </xf>
    <xf numFmtId="38" fontId="21" fillId="0" borderId="115" xfId="23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176" fontId="12" fillId="0" borderId="221" xfId="24" applyNumberFormat="1" applyFont="1" applyBorder="1" applyAlignment="1">
      <alignment horizontal="right" vertical="center"/>
    </xf>
    <xf numFmtId="0" fontId="12" fillId="0" borderId="27" xfId="8" applyFont="1" applyBorder="1" applyAlignment="1">
      <alignment horizontal="right" vertical="center"/>
    </xf>
    <xf numFmtId="0" fontId="30" fillId="0" borderId="27" xfId="8" applyFont="1" applyFill="1" applyBorder="1" applyAlignment="1">
      <alignment horizontal="center" vertical="center"/>
    </xf>
    <xf numFmtId="0" fontId="30" fillId="0" borderId="27" xfId="8" applyFont="1" applyFill="1" applyBorder="1" applyAlignment="1">
      <alignment horizontal="center" vertical="center" wrapText="1"/>
    </xf>
    <xf numFmtId="0" fontId="30" fillId="0" borderId="27" xfId="8" applyFont="1" applyFill="1" applyBorder="1" applyAlignment="1">
      <alignment horizontal="distributed" vertical="center"/>
    </xf>
    <xf numFmtId="180" fontId="12" fillId="0" borderId="27" xfId="23" applyNumberFormat="1" applyFont="1" applyFill="1" applyBorder="1" applyAlignment="1">
      <alignment horizontal="right" vertical="center"/>
    </xf>
    <xf numFmtId="176" fontId="12" fillId="0" borderId="221" xfId="24" applyNumberFormat="1" applyFont="1" applyFill="1" applyBorder="1" applyAlignment="1">
      <alignment horizontal="right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4" xfId="0" applyFont="1" applyFill="1" applyBorder="1"/>
    <xf numFmtId="0" fontId="12" fillId="0" borderId="32" xfId="0" applyFont="1" applyFill="1" applyBorder="1"/>
    <xf numFmtId="0" fontId="12" fillId="0" borderId="3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38" fontId="12" fillId="0" borderId="112" xfId="0" applyNumberFormat="1" applyFont="1" applyFill="1" applyBorder="1" applyAlignment="1">
      <alignment horizontal="center" vertical="center"/>
    </xf>
    <xf numFmtId="0" fontId="12" fillId="0" borderId="111" xfId="0" applyFont="1" applyFill="1" applyBorder="1"/>
    <xf numFmtId="0" fontId="12" fillId="0" borderId="110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110" xfId="0" applyFont="1" applyFill="1" applyBorder="1"/>
    <xf numFmtId="38" fontId="12" fillId="0" borderId="109" xfId="0" applyNumberFormat="1" applyFont="1" applyFill="1" applyBorder="1" applyAlignment="1">
      <alignment horizontal="center" vertical="center"/>
    </xf>
    <xf numFmtId="0" fontId="72" fillId="0" borderId="4" xfId="0" applyFont="1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vertical="center"/>
    </xf>
    <xf numFmtId="0" fontId="72" fillId="0" borderId="4" xfId="0" applyFont="1" applyFill="1" applyBorder="1" applyAlignment="1">
      <alignment vertical="center"/>
    </xf>
    <xf numFmtId="0" fontId="72" fillId="0" borderId="5" xfId="0" applyFont="1" applyFill="1" applyBorder="1" applyAlignment="1">
      <alignment horizontal="center" vertical="center"/>
    </xf>
    <xf numFmtId="0" fontId="72" fillId="0" borderId="6" xfId="0" applyFont="1" applyFill="1" applyBorder="1" applyAlignment="1">
      <alignment horizontal="center" vertical="center"/>
    </xf>
    <xf numFmtId="0" fontId="73" fillId="0" borderId="6" xfId="0" applyFont="1" applyFill="1" applyBorder="1" applyAlignment="1">
      <alignment horizontal="right" vertical="center"/>
    </xf>
    <xf numFmtId="0" fontId="72" fillId="0" borderId="7" xfId="0" applyFont="1" applyFill="1" applyBorder="1" applyAlignment="1">
      <alignment horizontal="center" vertical="center"/>
    </xf>
    <xf numFmtId="0" fontId="73" fillId="0" borderId="7" xfId="0" applyFont="1" applyFill="1" applyBorder="1" applyAlignment="1">
      <alignment horizontal="center" vertical="center" shrinkToFit="1"/>
    </xf>
    <xf numFmtId="0" fontId="74" fillId="0" borderId="6" xfId="0" applyFont="1" applyFill="1" applyBorder="1" applyAlignment="1">
      <alignment vertical="center"/>
    </xf>
    <xf numFmtId="0" fontId="72" fillId="0" borderId="6" xfId="0" applyFont="1" applyFill="1" applyBorder="1" applyAlignment="1">
      <alignment vertical="center"/>
    </xf>
    <xf numFmtId="0" fontId="72" fillId="0" borderId="7" xfId="0" applyFont="1" applyFill="1" applyBorder="1" applyAlignment="1">
      <alignment vertical="center"/>
    </xf>
    <xf numFmtId="0" fontId="72" fillId="0" borderId="3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2" fillId="0" borderId="4" xfId="0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 shrinkToFit="1"/>
    </xf>
    <xf numFmtId="0" fontId="74" fillId="0" borderId="0" xfId="0" applyFont="1" applyFill="1" applyBorder="1" applyAlignment="1">
      <alignment vertical="center"/>
    </xf>
    <xf numFmtId="0" fontId="74" fillId="0" borderId="3" xfId="0" applyFont="1" applyFill="1" applyBorder="1" applyAlignment="1">
      <alignment vertical="center"/>
    </xf>
    <xf numFmtId="0" fontId="72" fillId="0" borderId="9" xfId="0" applyFont="1" applyFill="1" applyBorder="1" applyAlignment="1">
      <alignment horizontal="center" vertical="center"/>
    </xf>
    <xf numFmtId="0" fontId="72" fillId="0" borderId="2" xfId="0" applyFont="1" applyFill="1" applyBorder="1" applyAlignment="1">
      <alignment horizontal="center" vertical="center"/>
    </xf>
    <xf numFmtId="0" fontId="73" fillId="0" borderId="2" xfId="0" applyFont="1" applyFill="1" applyBorder="1" applyAlignment="1">
      <alignment horizontal="right" vertical="center"/>
    </xf>
    <xf numFmtId="0" fontId="72" fillId="0" borderId="10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 shrinkToFit="1"/>
    </xf>
    <xf numFmtId="0" fontId="74" fillId="0" borderId="2" xfId="0" applyFont="1" applyFill="1" applyBorder="1" applyAlignment="1">
      <alignment vertical="center"/>
    </xf>
    <xf numFmtId="0" fontId="72" fillId="0" borderId="2" xfId="0" applyFont="1" applyFill="1" applyBorder="1" applyAlignment="1">
      <alignment vertical="center"/>
    </xf>
    <xf numFmtId="0" fontId="72" fillId="0" borderId="10" xfId="0" applyFont="1" applyFill="1" applyBorder="1" applyAlignment="1">
      <alignment vertical="center"/>
    </xf>
    <xf numFmtId="0" fontId="73" fillId="0" borderId="10" xfId="9" applyFont="1" applyFill="1" applyBorder="1" applyAlignment="1">
      <alignment horizontal="center" vertical="center"/>
    </xf>
    <xf numFmtId="0" fontId="74" fillId="0" borderId="2" xfId="9" applyFont="1" applyFill="1" applyBorder="1" applyAlignment="1"/>
    <xf numFmtId="0" fontId="72" fillId="0" borderId="2" xfId="9" applyFont="1" applyFill="1" applyBorder="1" applyAlignment="1"/>
    <xf numFmtId="0" fontId="72" fillId="0" borderId="10" xfId="9" applyFont="1" applyFill="1" applyBorder="1" applyAlignment="1"/>
    <xf numFmtId="0" fontId="72" fillId="0" borderId="0" xfId="0" applyFont="1" applyFill="1"/>
    <xf numFmtId="0" fontId="72" fillId="0" borderId="0" xfId="0" applyFont="1" applyFill="1" applyAlignment="1">
      <alignment horizontal="left"/>
    </xf>
    <xf numFmtId="0" fontId="75" fillId="0" borderId="0" xfId="0" applyFont="1" applyFill="1"/>
    <xf numFmtId="0" fontId="73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/>
    </xf>
    <xf numFmtId="0" fontId="73" fillId="0" borderId="0" xfId="0" applyFont="1" applyFill="1" applyBorder="1"/>
    <xf numFmtId="0" fontId="73" fillId="0" borderId="2" xfId="0" applyFont="1" applyFill="1" applyBorder="1"/>
    <xf numFmtId="0" fontId="75" fillId="0" borderId="2" xfId="0" applyFont="1" applyFill="1" applyBorder="1"/>
    <xf numFmtId="0" fontId="73" fillId="0" borderId="51" xfId="0" applyFont="1" applyFill="1" applyBorder="1" applyAlignment="1">
      <alignment horizontal="center" vertical="center"/>
    </xf>
    <xf numFmtId="0" fontId="74" fillId="0" borderId="74" xfId="0" applyFont="1" applyFill="1" applyBorder="1"/>
    <xf numFmtId="0" fontId="72" fillId="0" borderId="74" xfId="0" applyFont="1" applyFill="1" applyBorder="1"/>
    <xf numFmtId="0" fontId="72" fillId="0" borderId="29" xfId="0" applyFont="1" applyFill="1" applyBorder="1"/>
    <xf numFmtId="0" fontId="73" fillId="0" borderId="2" xfId="0" applyFont="1" applyFill="1" applyBorder="1" applyAlignment="1">
      <alignment horizontal="left" vertical="center"/>
    </xf>
    <xf numFmtId="0" fontId="73" fillId="0" borderId="2" xfId="0" applyFont="1" applyFill="1" applyBorder="1" applyAlignment="1">
      <alignment horizontal="left"/>
    </xf>
    <xf numFmtId="0" fontId="72" fillId="0" borderId="234" xfId="0" applyFont="1" applyFill="1" applyBorder="1" applyAlignment="1">
      <alignment horizontal="center" vertical="center"/>
    </xf>
    <xf numFmtId="0" fontId="72" fillId="0" borderId="235" xfId="0" applyFont="1" applyFill="1" applyBorder="1" applyAlignment="1">
      <alignment horizontal="center" vertical="center"/>
    </xf>
    <xf numFmtId="0" fontId="73" fillId="0" borderId="235" xfId="0" applyFont="1" applyFill="1" applyBorder="1" applyAlignment="1">
      <alignment horizontal="right" vertical="center"/>
    </xf>
    <xf numFmtId="0" fontId="72" fillId="0" borderId="236" xfId="0" applyFont="1" applyFill="1" applyBorder="1" applyAlignment="1">
      <alignment horizontal="center" vertical="center"/>
    </xf>
    <xf numFmtId="0" fontId="73" fillId="0" borderId="236" xfId="0" applyFont="1" applyFill="1" applyBorder="1" applyAlignment="1">
      <alignment horizontal="center" vertical="center" shrinkToFit="1"/>
    </xf>
    <xf numFmtId="0" fontId="72" fillId="0" borderId="235" xfId="0" applyFont="1" applyFill="1" applyBorder="1" applyAlignment="1">
      <alignment vertical="center"/>
    </xf>
    <xf numFmtId="0" fontId="72" fillId="0" borderId="236" xfId="0" applyFont="1" applyFill="1" applyBorder="1" applyAlignment="1">
      <alignment vertical="center"/>
    </xf>
    <xf numFmtId="0" fontId="72" fillId="0" borderId="166" xfId="0" applyFont="1" applyFill="1" applyBorder="1" applyAlignment="1">
      <alignment horizontal="center" vertical="center"/>
    </xf>
    <xf numFmtId="0" fontId="72" fillId="0" borderId="226" xfId="0" applyFont="1" applyFill="1" applyBorder="1" applyAlignment="1">
      <alignment horizontal="center" vertical="center"/>
    </xf>
    <xf numFmtId="0" fontId="75" fillId="0" borderId="226" xfId="0" applyFont="1" applyFill="1" applyBorder="1"/>
    <xf numFmtId="0" fontId="72" fillId="0" borderId="168" xfId="0" applyFont="1" applyFill="1" applyBorder="1" applyAlignment="1">
      <alignment horizontal="center" vertical="center"/>
    </xf>
    <xf numFmtId="0" fontId="73" fillId="0" borderId="168" xfId="0" applyFont="1" applyFill="1" applyBorder="1" applyAlignment="1">
      <alignment horizontal="center" vertical="center" shrinkToFit="1"/>
    </xf>
    <xf numFmtId="0" fontId="72" fillId="0" borderId="226" xfId="0" applyFont="1" applyFill="1" applyBorder="1" applyAlignment="1">
      <alignment vertical="center"/>
    </xf>
    <xf numFmtId="0" fontId="72" fillId="0" borderId="168" xfId="0" applyFont="1" applyFill="1" applyBorder="1" applyAlignment="1">
      <alignment vertical="center"/>
    </xf>
    <xf numFmtId="3" fontId="21" fillId="0" borderId="13" xfId="7" applyNumberFormat="1" applyFont="1" applyBorder="1" applyAlignment="1" applyProtection="1">
      <alignment horizontal="right"/>
    </xf>
    <xf numFmtId="3" fontId="21" fillId="40" borderId="13" xfId="7" applyNumberFormat="1" applyFont="1" applyFill="1" applyBorder="1" applyAlignment="1" applyProtection="1">
      <alignment horizontal="right"/>
    </xf>
    <xf numFmtId="3" fontId="21" fillId="0" borderId="141" xfId="7" applyNumberFormat="1" applyFont="1" applyBorder="1" applyAlignment="1" applyProtection="1">
      <alignment horizontal="right"/>
    </xf>
    <xf numFmtId="3" fontId="21" fillId="40" borderId="201" xfId="7" applyNumberFormat="1" applyFont="1" applyFill="1" applyBorder="1" applyAlignment="1" applyProtection="1">
      <alignment horizontal="right"/>
    </xf>
    <xf numFmtId="3" fontId="21" fillId="0" borderId="201" xfId="7" applyNumberFormat="1" applyFont="1" applyBorder="1" applyAlignment="1" applyProtection="1">
      <alignment horizontal="right"/>
    </xf>
    <xf numFmtId="3" fontId="21" fillId="0" borderId="161" xfId="7" applyNumberFormat="1" applyFont="1" applyBorder="1" applyAlignment="1" applyProtection="1">
      <alignment horizontal="right"/>
    </xf>
    <xf numFmtId="0" fontId="30" fillId="0" borderId="34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176" fontId="30" fillId="0" borderId="28" xfId="0" applyNumberFormat="1" applyFont="1" applyFill="1" applyBorder="1" applyAlignment="1">
      <alignment horizontal="center" wrapText="1"/>
    </xf>
    <xf numFmtId="176" fontId="30" fillId="0" borderId="186" xfId="0" applyNumberFormat="1" applyFont="1" applyFill="1" applyBorder="1" applyAlignment="1">
      <alignment horizont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0" fontId="30" fillId="0" borderId="32" xfId="0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 shrinkToFit="1"/>
    </xf>
    <xf numFmtId="0" fontId="31" fillId="0" borderId="33" xfId="0" applyFont="1" applyFill="1" applyBorder="1" applyAlignment="1">
      <alignment horizontal="center" vertical="center" shrinkToFit="1"/>
    </xf>
    <xf numFmtId="0" fontId="31" fillId="0" borderId="36" xfId="0" applyFont="1" applyFill="1" applyBorder="1" applyAlignment="1">
      <alignment horizontal="center" vertical="center" shrinkToFit="1"/>
    </xf>
    <xf numFmtId="0" fontId="31" fillId="0" borderId="37" xfId="0" applyFont="1" applyFill="1" applyBorder="1" applyAlignment="1">
      <alignment horizontal="center" vertical="center" shrinkToFit="1"/>
    </xf>
    <xf numFmtId="0" fontId="31" fillId="0" borderId="41" xfId="0" applyFont="1" applyFill="1" applyBorder="1" applyAlignment="1">
      <alignment horizontal="center" vertical="center" shrinkToFit="1"/>
    </xf>
    <xf numFmtId="0" fontId="31" fillId="0" borderId="26" xfId="0" applyFont="1" applyFill="1" applyBorder="1" applyAlignment="1">
      <alignment horizontal="center" vertical="center" shrinkToFit="1"/>
    </xf>
    <xf numFmtId="0" fontId="30" fillId="0" borderId="34" xfId="0" applyFont="1" applyFill="1" applyBorder="1" applyAlignment="1">
      <alignment horizontal="center" vertical="center" shrinkToFit="1"/>
    </xf>
    <xf numFmtId="0" fontId="31" fillId="0" borderId="35" xfId="0" applyFont="1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 shrinkToFit="1"/>
    </xf>
    <xf numFmtId="0" fontId="31" fillId="0" borderId="37" xfId="0" applyFont="1" applyBorder="1" applyAlignment="1">
      <alignment horizontal="center" vertical="center" shrinkToFit="1"/>
    </xf>
    <xf numFmtId="0" fontId="30" fillId="0" borderId="28" xfId="0" applyFont="1" applyFill="1" applyBorder="1" applyAlignment="1">
      <alignment horizontal="center" vertical="center" wrapText="1" shrinkToFit="1"/>
    </xf>
    <xf numFmtId="0" fontId="31" fillId="0" borderId="29" xfId="0" applyFont="1" applyFill="1" applyBorder="1" applyAlignment="1">
      <alignment horizontal="center" vertical="center" shrinkToFit="1"/>
    </xf>
    <xf numFmtId="0" fontId="31" fillId="0" borderId="28" xfId="0" applyFont="1" applyFill="1" applyBorder="1" applyAlignment="1">
      <alignment horizontal="center" vertical="center" shrinkToFit="1"/>
    </xf>
    <xf numFmtId="0" fontId="43" fillId="0" borderId="28" xfId="0" applyFont="1" applyBorder="1" applyAlignment="1">
      <alignment horizontal="center" vertical="center" wrapText="1" shrinkToFit="1"/>
    </xf>
    <xf numFmtId="0" fontId="43" fillId="0" borderId="74" xfId="0" applyFont="1" applyBorder="1" applyAlignment="1">
      <alignment horizontal="center" vertical="center" shrinkToFit="1"/>
    </xf>
    <xf numFmtId="0" fontId="43" fillId="0" borderId="28" xfId="0" applyFont="1" applyFill="1" applyBorder="1" applyAlignment="1">
      <alignment horizontal="center" vertical="center" wrapText="1" shrinkToFit="1"/>
    </xf>
    <xf numFmtId="0" fontId="43" fillId="0" borderId="29" xfId="0" applyFont="1" applyFill="1" applyBorder="1" applyAlignment="1">
      <alignment horizontal="center" vertical="center" shrinkToFit="1"/>
    </xf>
    <xf numFmtId="0" fontId="43" fillId="0" borderId="74" xfId="0" applyFont="1" applyFill="1" applyBorder="1" applyAlignment="1">
      <alignment horizontal="center" vertical="center" shrinkToFit="1"/>
    </xf>
    <xf numFmtId="0" fontId="31" fillId="0" borderId="41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35" xfId="0" applyFont="1" applyBorder="1" applyAlignment="1">
      <alignment vertical="center"/>
    </xf>
    <xf numFmtId="0" fontId="30" fillId="0" borderId="37" xfId="0" applyFont="1" applyBorder="1" applyAlignment="1">
      <alignment horizontal="center" vertical="center" wrapText="1"/>
    </xf>
    <xf numFmtId="0" fontId="30" fillId="0" borderId="75" xfId="0" applyFont="1" applyFill="1" applyBorder="1" applyAlignment="1">
      <alignment horizontal="center" vertical="center" wrapText="1"/>
    </xf>
    <xf numFmtId="0" fontId="30" fillId="0" borderId="76" xfId="0" applyFont="1" applyFill="1" applyBorder="1" applyAlignment="1">
      <alignment horizontal="center" vertical="center" wrapText="1"/>
    </xf>
    <xf numFmtId="0" fontId="30" fillId="0" borderId="77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/>
    </xf>
    <xf numFmtId="0" fontId="31" fillId="0" borderId="76" xfId="0" applyFont="1" applyBorder="1" applyAlignment="1">
      <alignment vertical="center"/>
    </xf>
    <xf numFmtId="0" fontId="31" fillId="0" borderId="77" xfId="0" applyFont="1" applyBorder="1" applyAlignment="1">
      <alignment vertical="center"/>
    </xf>
    <xf numFmtId="194" fontId="12" fillId="0" borderId="227" xfId="0" applyNumberFormat="1" applyFont="1" applyBorder="1" applyAlignment="1">
      <alignment horizontal="center" vertical="center"/>
    </xf>
    <xf numFmtId="194" fontId="12" fillId="0" borderId="230" xfId="0" applyNumberFormat="1" applyFont="1" applyBorder="1" applyAlignment="1">
      <alignment horizontal="center" vertical="center"/>
    </xf>
    <xf numFmtId="0" fontId="30" fillId="0" borderId="27" xfId="8" applyFont="1" applyFill="1" applyBorder="1" applyAlignment="1">
      <alignment horizontal="center" vertical="center"/>
    </xf>
    <xf numFmtId="0" fontId="30" fillId="0" borderId="28" xfId="8" applyFont="1" applyBorder="1" applyAlignment="1">
      <alignment horizontal="center" vertical="center"/>
    </xf>
    <xf numFmtId="0" fontId="30" fillId="0" borderId="29" xfId="8" applyFont="1" applyBorder="1" applyAlignment="1">
      <alignment horizontal="center" vertical="center"/>
    </xf>
    <xf numFmtId="0" fontId="30" fillId="0" borderId="27" xfId="8" applyFont="1" applyBorder="1" applyAlignment="1">
      <alignment horizontal="center" vertical="center"/>
    </xf>
    <xf numFmtId="0" fontId="30" fillId="0" borderId="27" xfId="8" applyFont="1" applyFill="1" applyBorder="1" applyAlignment="1">
      <alignment horizontal="center" vertical="center" textRotation="255" wrapText="1"/>
    </xf>
    <xf numFmtId="0" fontId="30" fillId="0" borderId="27" xfId="8" applyFont="1" applyFill="1" applyBorder="1" applyAlignment="1">
      <alignment horizontal="center" vertical="center" textRotation="255"/>
    </xf>
    <xf numFmtId="0" fontId="30" fillId="0" borderId="27" xfId="8" applyFont="1" applyFill="1" applyBorder="1" applyAlignment="1">
      <alignment horizontal="distributed" vertical="center"/>
    </xf>
    <xf numFmtId="0" fontId="30" fillId="0" borderId="27" xfId="8" applyFont="1" applyBorder="1" applyAlignment="1">
      <alignment horizontal="center" vertical="center" textRotation="255" wrapText="1"/>
    </xf>
    <xf numFmtId="0" fontId="30" fillId="0" borderId="27" xfId="8" applyFont="1" applyBorder="1" applyAlignment="1">
      <alignment horizontal="center" vertical="center" textRotation="255"/>
    </xf>
    <xf numFmtId="0" fontId="30" fillId="0" borderId="27" xfId="8" applyFont="1" applyBorder="1" applyAlignment="1">
      <alignment horizontal="distributed" vertical="center"/>
    </xf>
    <xf numFmtId="0" fontId="43" fillId="22" borderId="28" xfId="21" applyFont="1" applyFill="1" applyBorder="1" applyAlignment="1">
      <alignment horizontal="center" vertical="center"/>
    </xf>
    <xf numFmtId="0" fontId="43" fillId="22" borderId="74" xfId="21" applyFont="1" applyFill="1" applyBorder="1" applyAlignment="1">
      <alignment horizontal="center" vertical="center"/>
    </xf>
    <xf numFmtId="0" fontId="43" fillId="22" borderId="29" xfId="21" applyFont="1" applyFill="1" applyBorder="1" applyAlignment="1">
      <alignment horizontal="center" vertical="center"/>
    </xf>
    <xf numFmtId="0" fontId="43" fillId="12" borderId="28" xfId="21" applyFont="1" applyFill="1" applyBorder="1" applyAlignment="1">
      <alignment horizontal="center" vertical="center"/>
    </xf>
    <xf numFmtId="0" fontId="43" fillId="12" borderId="74" xfId="21" applyFont="1" applyFill="1" applyBorder="1" applyAlignment="1">
      <alignment horizontal="center" vertical="center"/>
    </xf>
    <xf numFmtId="0" fontId="43" fillId="12" borderId="29" xfId="21" applyFont="1" applyFill="1" applyBorder="1" applyAlignment="1">
      <alignment horizontal="center" vertical="center"/>
    </xf>
    <xf numFmtId="0" fontId="52" fillId="0" borderId="19" xfId="21" applyFont="1" applyBorder="1" applyAlignment="1">
      <alignment horizontal="center" vertical="center" textRotation="255"/>
    </xf>
    <xf numFmtId="0" fontId="52" fillId="0" borderId="21" xfId="21" applyFont="1" applyBorder="1" applyAlignment="1">
      <alignment horizontal="center" vertical="center" textRotation="255"/>
    </xf>
    <xf numFmtId="0" fontId="52" fillId="0" borderId="20" xfId="21" applyFont="1" applyBorder="1" applyAlignment="1">
      <alignment horizontal="center" vertical="center" textRotation="255"/>
    </xf>
    <xf numFmtId="38" fontId="52" fillId="0" borderId="28" xfId="21" applyNumberFormat="1" applyFont="1" applyBorder="1" applyAlignment="1">
      <alignment vertical="center" shrinkToFit="1"/>
    </xf>
    <xf numFmtId="38" fontId="52" fillId="0" borderId="74" xfId="21" applyNumberFormat="1" applyFont="1" applyBorder="1" applyAlignment="1">
      <alignment vertical="center" shrinkToFit="1"/>
    </xf>
    <xf numFmtId="38" fontId="52" fillId="0" borderId="29" xfId="21" applyNumberFormat="1" applyFont="1" applyBorder="1" applyAlignment="1">
      <alignment vertical="center" shrinkToFit="1"/>
    </xf>
    <xf numFmtId="0" fontId="41" fillId="0" borderId="0" xfId="21" applyFont="1" applyAlignment="1">
      <alignment vertical="top" shrinkToFit="1"/>
    </xf>
    <xf numFmtId="38" fontId="52" fillId="0" borderId="27" xfId="21" applyNumberFormat="1" applyFont="1" applyBorder="1" applyAlignment="1">
      <alignment vertical="center" shrinkToFit="1"/>
    </xf>
    <xf numFmtId="0" fontId="43" fillId="27" borderId="28" xfId="21" applyFont="1" applyFill="1" applyBorder="1" applyAlignment="1">
      <alignment horizontal="center" vertical="center"/>
    </xf>
    <xf numFmtId="0" fontId="43" fillId="27" borderId="74" xfId="21" applyFont="1" applyFill="1" applyBorder="1" applyAlignment="1">
      <alignment horizontal="center" vertical="center"/>
    </xf>
    <xf numFmtId="0" fontId="43" fillId="27" borderId="29" xfId="21" applyFont="1" applyFill="1" applyBorder="1" applyAlignment="1">
      <alignment horizontal="center" vertical="center"/>
    </xf>
    <xf numFmtId="0" fontId="41" fillId="0" borderId="0" xfId="21" applyFont="1" applyAlignment="1">
      <alignment shrinkToFit="1"/>
    </xf>
    <xf numFmtId="0" fontId="36" fillId="0" borderId="0" xfId="21" applyFont="1" applyAlignment="1">
      <alignment vertical="top" shrinkToFi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2" fillId="0" borderId="0" xfId="21" applyFont="1" applyFill="1" applyAlignment="1">
      <alignment horizontal="left" vertical="center" wrapText="1"/>
    </xf>
    <xf numFmtId="0" fontId="30" fillId="0" borderId="1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wrapText="1"/>
    </xf>
    <xf numFmtId="0" fontId="72" fillId="0" borderId="8" xfId="9" applyFont="1" applyFill="1" applyBorder="1" applyAlignment="1">
      <alignment horizontal="center" vertical="center"/>
    </xf>
    <xf numFmtId="0" fontId="72" fillId="0" borderId="164" xfId="0" applyFont="1" applyFill="1" applyBorder="1" applyAlignment="1">
      <alignment horizontal="center" vertical="center"/>
    </xf>
    <xf numFmtId="0" fontId="72" fillId="0" borderId="123" xfId="0" applyFont="1" applyFill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/>
    </xf>
    <xf numFmtId="0" fontId="72" fillId="0" borderId="12" xfId="0" applyFont="1" applyFill="1" applyBorder="1" applyAlignment="1">
      <alignment horizontal="center" vertical="center"/>
    </xf>
    <xf numFmtId="0" fontId="72" fillId="0" borderId="23" xfId="0" applyFont="1" applyFill="1" applyBorder="1" applyAlignment="1">
      <alignment horizontal="center" vertical="center"/>
    </xf>
    <xf numFmtId="0" fontId="72" fillId="0" borderId="25" xfId="0" applyFont="1" applyFill="1" applyBorder="1" applyAlignment="1">
      <alignment horizontal="center" vertical="center"/>
    </xf>
    <xf numFmtId="0" fontId="72" fillId="0" borderId="24" xfId="0" applyFont="1" applyFill="1" applyBorder="1" applyAlignment="1">
      <alignment horizontal="center" vertical="center"/>
    </xf>
    <xf numFmtId="38" fontId="21" fillId="0" borderId="147" xfId="20" applyFont="1" applyBorder="1" applyAlignment="1">
      <alignment horizontal="right" vertical="center"/>
    </xf>
    <xf numFmtId="0" fontId="0" fillId="0" borderId="148" xfId="0" applyFont="1" applyBorder="1" applyAlignment="1">
      <alignment horizontal="right" vertical="center"/>
    </xf>
    <xf numFmtId="0" fontId="0" fillId="0" borderId="121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38" fontId="21" fillId="10" borderId="227" xfId="0" applyNumberFormat="1" applyFont="1" applyFill="1" applyBorder="1" applyAlignment="1">
      <alignment horizontal="right" vertical="top"/>
    </xf>
    <xf numFmtId="0" fontId="23" fillId="0" borderId="228" xfId="0" applyFont="1" applyBorder="1" applyAlignment="1">
      <alignment horizontal="right" vertical="top"/>
    </xf>
    <xf numFmtId="0" fontId="23" fillId="0" borderId="230" xfId="0" applyFont="1" applyBorder="1" applyAlignment="1">
      <alignment horizontal="right" vertical="top"/>
    </xf>
    <xf numFmtId="38" fontId="21" fillId="10" borderId="231" xfId="0" applyNumberFormat="1" applyFont="1" applyFill="1" applyBorder="1" applyAlignment="1">
      <alignment horizontal="right" vertical="top"/>
    </xf>
    <xf numFmtId="0" fontId="23" fillId="0" borderId="232" xfId="0" applyFont="1" applyBorder="1" applyAlignment="1">
      <alignment horizontal="right" vertical="top"/>
    </xf>
    <xf numFmtId="0" fontId="23" fillId="0" borderId="233" xfId="0" applyFont="1" applyBorder="1" applyAlignment="1">
      <alignment horizontal="right" vertical="top"/>
    </xf>
    <xf numFmtId="38" fontId="21" fillId="10" borderId="228" xfId="0" applyNumberFormat="1" applyFont="1" applyFill="1" applyBorder="1" applyAlignment="1">
      <alignment horizontal="right" vertical="top"/>
    </xf>
    <xf numFmtId="38" fontId="21" fillId="10" borderId="229" xfId="0" applyNumberFormat="1" applyFont="1" applyFill="1" applyBorder="1" applyAlignment="1">
      <alignment horizontal="right" vertical="top"/>
    </xf>
    <xf numFmtId="0" fontId="23" fillId="0" borderId="98" xfId="0" applyFont="1" applyBorder="1" applyAlignment="1">
      <alignment horizontal="right" vertical="top"/>
    </xf>
    <xf numFmtId="0" fontId="23" fillId="0" borderId="99" xfId="0" applyFont="1" applyBorder="1" applyAlignment="1">
      <alignment horizontal="right" vertical="top"/>
    </xf>
    <xf numFmtId="38" fontId="21" fillId="0" borderId="143" xfId="20" applyFont="1" applyBorder="1" applyAlignment="1">
      <alignment horizontal="right" vertical="center"/>
    </xf>
    <xf numFmtId="38" fontId="21" fillId="0" borderId="144" xfId="20" applyFont="1" applyBorder="1" applyAlignment="1">
      <alignment horizontal="right" vertical="center"/>
    </xf>
    <xf numFmtId="38" fontId="21" fillId="0" borderId="117" xfId="20" applyFont="1" applyBorder="1" applyAlignment="1">
      <alignment horizontal="right" vertical="center"/>
    </xf>
    <xf numFmtId="38" fontId="21" fillId="0" borderId="149" xfId="20" applyFont="1" applyBorder="1" applyAlignment="1">
      <alignment horizontal="right" vertical="center"/>
    </xf>
    <xf numFmtId="0" fontId="0" fillId="0" borderId="150" xfId="0" applyFont="1" applyBorder="1" applyAlignment="1">
      <alignment horizontal="right" vertical="center"/>
    </xf>
    <xf numFmtId="0" fontId="0" fillId="0" borderId="135" xfId="0" applyFont="1" applyBorder="1" applyAlignment="1">
      <alignment horizontal="right" vertical="center"/>
    </xf>
    <xf numFmtId="38" fontId="21" fillId="0" borderId="145" xfId="20" applyFont="1" applyBorder="1" applyAlignment="1">
      <alignment horizontal="right" vertical="center"/>
    </xf>
    <xf numFmtId="0" fontId="0" fillId="0" borderId="146" xfId="0" applyFont="1" applyBorder="1" applyAlignment="1">
      <alignment horizontal="right" vertical="center"/>
    </xf>
    <xf numFmtId="38" fontId="21" fillId="0" borderId="142" xfId="20" applyFont="1" applyBorder="1" applyAlignment="1">
      <alignment horizontal="right" vertical="center"/>
    </xf>
    <xf numFmtId="0" fontId="0" fillId="0" borderId="136" xfId="0" applyFont="1" applyBorder="1" applyAlignment="1">
      <alignment horizontal="right" vertical="center"/>
    </xf>
    <xf numFmtId="0" fontId="0" fillId="0" borderId="144" xfId="0" applyFont="1" applyBorder="1" applyAlignment="1">
      <alignment horizontal="right" vertical="center"/>
    </xf>
    <xf numFmtId="0" fontId="30" fillId="0" borderId="32" xfId="0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0" fillId="0" borderId="41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0" fillId="0" borderId="36" xfId="0" applyFont="1" applyBorder="1" applyAlignment="1">
      <alignment horizontal="center" vertical="top"/>
    </xf>
    <xf numFmtId="0" fontId="31" fillId="0" borderId="26" xfId="0" applyFont="1" applyBorder="1" applyAlignment="1">
      <alignment horizontal="center" vertical="top"/>
    </xf>
    <xf numFmtId="0" fontId="31" fillId="0" borderId="37" xfId="0" applyFont="1" applyBorder="1" applyAlignment="1">
      <alignment horizontal="center" vertical="top"/>
    </xf>
    <xf numFmtId="38" fontId="21" fillId="0" borderId="142" xfId="20" applyFont="1" applyBorder="1" applyAlignment="1">
      <alignment vertical="center"/>
    </xf>
    <xf numFmtId="38" fontId="21" fillId="0" borderId="136" xfId="20" applyFont="1" applyBorder="1" applyAlignment="1">
      <alignment vertical="center"/>
    </xf>
    <xf numFmtId="38" fontId="21" fillId="0" borderId="115" xfId="20" applyFont="1" applyBorder="1" applyAlignment="1">
      <alignment vertical="center"/>
    </xf>
    <xf numFmtId="0" fontId="30" fillId="0" borderId="64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38" fontId="21" fillId="0" borderId="172" xfId="20" applyFont="1" applyBorder="1" applyAlignment="1">
      <alignment vertical="center"/>
    </xf>
    <xf numFmtId="38" fontId="21" fillId="0" borderId="187" xfId="20" applyFont="1" applyBorder="1" applyAlignment="1">
      <alignment vertical="center"/>
    </xf>
    <xf numFmtId="38" fontId="21" fillId="0" borderId="171" xfId="20" applyFont="1" applyBorder="1" applyAlignment="1">
      <alignment vertical="center"/>
    </xf>
    <xf numFmtId="38" fontId="21" fillId="10" borderId="34" xfId="20" applyFont="1" applyFill="1" applyBorder="1" applyAlignment="1">
      <alignment vertical="center"/>
    </xf>
    <xf numFmtId="38" fontId="21" fillId="10" borderId="0" xfId="20" applyFont="1" applyFill="1" applyBorder="1" applyAlignment="1">
      <alignment vertical="center"/>
    </xf>
    <xf numFmtId="38" fontId="21" fillId="10" borderId="35" xfId="20" applyFont="1" applyFill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38" fontId="21" fillId="0" borderId="70" xfId="20" applyFont="1" applyBorder="1" applyAlignment="1">
      <alignment vertical="center"/>
    </xf>
    <xf numFmtId="38" fontId="21" fillId="0" borderId="67" xfId="20" applyFont="1" applyBorder="1" applyAlignment="1">
      <alignment vertical="center"/>
    </xf>
    <xf numFmtId="38" fontId="21" fillId="0" borderId="68" xfId="20" applyFont="1" applyBorder="1" applyAlignment="1">
      <alignment vertical="center"/>
    </xf>
    <xf numFmtId="38" fontId="21" fillId="0" borderId="143" xfId="20" applyFont="1" applyBorder="1" applyAlignment="1">
      <alignment vertical="center"/>
    </xf>
    <xf numFmtId="38" fontId="21" fillId="0" borderId="144" xfId="20" applyFont="1" applyBorder="1" applyAlignment="1">
      <alignment vertical="center"/>
    </xf>
    <xf numFmtId="38" fontId="21" fillId="0" borderId="117" xfId="20" applyFont="1" applyBorder="1" applyAlignment="1">
      <alignment vertical="center"/>
    </xf>
    <xf numFmtId="0" fontId="30" fillId="0" borderId="35" xfId="0" applyFont="1" applyBorder="1" applyAlignment="1">
      <alignment horizontal="center"/>
    </xf>
    <xf numFmtId="0" fontId="30" fillId="0" borderId="26" xfId="0" applyFont="1" applyBorder="1" applyAlignment="1">
      <alignment horizontal="center" vertical="center"/>
    </xf>
    <xf numFmtId="38" fontId="21" fillId="0" borderId="172" xfId="0" applyNumberFormat="1" applyFont="1" applyBorder="1" applyAlignment="1">
      <alignment vertical="center"/>
    </xf>
    <xf numFmtId="38" fontId="21" fillId="0" borderId="187" xfId="0" applyNumberFormat="1" applyFont="1" applyBorder="1" applyAlignment="1">
      <alignment vertical="center"/>
    </xf>
    <xf numFmtId="38" fontId="21" fillId="0" borderId="171" xfId="0" applyNumberFormat="1" applyFont="1" applyBorder="1" applyAlignment="1">
      <alignment vertical="center"/>
    </xf>
    <xf numFmtId="38" fontId="21" fillId="10" borderId="70" xfId="0" applyNumberFormat="1" applyFont="1" applyFill="1" applyBorder="1" applyAlignment="1">
      <alignment vertical="center"/>
    </xf>
    <xf numFmtId="38" fontId="21" fillId="10" borderId="67" xfId="0" applyNumberFormat="1" applyFont="1" applyFill="1" applyBorder="1" applyAlignment="1">
      <alignment vertical="center"/>
    </xf>
    <xf numFmtId="38" fontId="21" fillId="10" borderId="68" xfId="0" applyNumberFormat="1" applyFont="1" applyFill="1" applyBorder="1" applyAlignment="1">
      <alignment vertical="center"/>
    </xf>
    <xf numFmtId="0" fontId="30" fillId="0" borderId="60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93" xfId="0" applyFont="1" applyBorder="1" applyAlignment="1">
      <alignment horizontal="center" vertical="center"/>
    </xf>
    <xf numFmtId="0" fontId="30" fillId="0" borderId="91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0" fillId="0" borderId="115" xfId="0" applyFont="1" applyBorder="1" applyAlignment="1">
      <alignment horizontal="right" vertical="center"/>
    </xf>
    <xf numFmtId="0" fontId="30" fillId="0" borderId="0" xfId="0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26" xfId="0" applyFont="1" applyBorder="1" applyAlignment="1">
      <alignment horizontal="right"/>
    </xf>
    <xf numFmtId="38" fontId="21" fillId="0" borderId="136" xfId="20" applyFont="1" applyBorder="1" applyAlignment="1">
      <alignment horizontal="right" vertical="center"/>
    </xf>
    <xf numFmtId="38" fontId="21" fillId="0" borderId="115" xfId="20" applyFont="1" applyBorder="1" applyAlignment="1">
      <alignment horizontal="right" vertical="center"/>
    </xf>
    <xf numFmtId="38" fontId="21" fillId="0" borderId="145" xfId="0" applyNumberFormat="1" applyFont="1" applyBorder="1" applyAlignment="1">
      <alignment vertical="center"/>
    </xf>
    <xf numFmtId="38" fontId="21" fillId="0" borderId="146" xfId="0" applyNumberFormat="1" applyFont="1" applyBorder="1" applyAlignment="1">
      <alignment vertical="center"/>
    </xf>
    <xf numFmtId="38" fontId="21" fillId="0" borderId="119" xfId="0" applyNumberFormat="1" applyFont="1" applyBorder="1" applyAlignment="1">
      <alignment vertical="center"/>
    </xf>
    <xf numFmtId="38" fontId="21" fillId="0" borderId="143" xfId="0" applyNumberFormat="1" applyFont="1" applyBorder="1" applyAlignment="1">
      <alignment vertical="center"/>
    </xf>
    <xf numFmtId="38" fontId="21" fillId="0" borderId="144" xfId="0" applyNumberFormat="1" applyFont="1" applyBorder="1" applyAlignment="1">
      <alignment vertical="center"/>
    </xf>
    <xf numFmtId="38" fontId="21" fillId="0" borderId="117" xfId="0" applyNumberFormat="1" applyFont="1" applyBorder="1" applyAlignment="1">
      <alignment vertical="center"/>
    </xf>
    <xf numFmtId="38" fontId="21" fillId="10" borderId="149" xfId="0" applyNumberFormat="1" applyFont="1" applyFill="1" applyBorder="1" applyAlignment="1">
      <alignment vertical="center"/>
    </xf>
    <xf numFmtId="38" fontId="21" fillId="10" borderId="150" xfId="0" applyNumberFormat="1" applyFont="1" applyFill="1" applyBorder="1" applyAlignment="1">
      <alignment vertical="center"/>
    </xf>
    <xf numFmtId="38" fontId="21" fillId="10" borderId="135" xfId="0" applyNumberFormat="1" applyFont="1" applyFill="1" applyBorder="1" applyAlignment="1">
      <alignment vertical="center"/>
    </xf>
    <xf numFmtId="38" fontId="21" fillId="0" borderId="142" xfId="0" applyNumberFormat="1" applyFont="1" applyBorder="1" applyAlignment="1">
      <alignment vertical="center"/>
    </xf>
    <xf numFmtId="38" fontId="21" fillId="0" borderId="136" xfId="0" applyNumberFormat="1" applyFont="1" applyBorder="1" applyAlignment="1">
      <alignment vertical="center"/>
    </xf>
    <xf numFmtId="38" fontId="21" fillId="0" borderId="115" xfId="0" applyNumberFormat="1" applyFont="1" applyBorder="1" applyAlignment="1">
      <alignment vertical="center"/>
    </xf>
    <xf numFmtId="38" fontId="21" fillId="10" borderId="34" xfId="0" applyNumberFormat="1" applyFont="1" applyFill="1" applyBorder="1" applyAlignment="1">
      <alignment vertical="center"/>
    </xf>
    <xf numFmtId="38" fontId="21" fillId="10" borderId="0" xfId="0" applyNumberFormat="1" applyFont="1" applyFill="1" applyBorder="1" applyAlignment="1">
      <alignment vertical="center"/>
    </xf>
    <xf numFmtId="38" fontId="21" fillId="10" borderId="35" xfId="0" applyNumberFormat="1" applyFont="1" applyFill="1" applyBorder="1" applyAlignment="1">
      <alignment vertical="center"/>
    </xf>
    <xf numFmtId="38" fontId="21" fillId="0" borderId="145" xfId="0" applyNumberFormat="1" applyFont="1" applyBorder="1" applyAlignment="1">
      <alignment horizontal="right" vertical="center"/>
    </xf>
    <xf numFmtId="0" fontId="0" fillId="0" borderId="119" xfId="0" applyFont="1" applyBorder="1" applyAlignment="1">
      <alignment horizontal="right" vertical="center"/>
    </xf>
    <xf numFmtId="38" fontId="21" fillId="0" borderId="146" xfId="20" applyFont="1" applyBorder="1" applyAlignment="1">
      <alignment horizontal="right" vertical="center"/>
    </xf>
    <xf numFmtId="38" fontId="21" fillId="0" borderId="119" xfId="20" applyFont="1" applyBorder="1" applyAlignment="1">
      <alignment horizontal="right" vertical="center"/>
    </xf>
    <xf numFmtId="0" fontId="30" fillId="0" borderId="26" xfId="0" applyFont="1" applyBorder="1" applyAlignment="1">
      <alignment horizontal="center" vertical="top"/>
    </xf>
    <xf numFmtId="0" fontId="30" fillId="0" borderId="37" xfId="0" applyFont="1" applyBorder="1" applyAlignment="1">
      <alignment horizontal="center" vertical="top"/>
    </xf>
    <xf numFmtId="38" fontId="21" fillId="0" borderId="156" xfId="20" applyFont="1" applyBorder="1" applyAlignment="1">
      <alignment horizontal="right" vertical="center"/>
    </xf>
    <xf numFmtId="0" fontId="0" fillId="0" borderId="157" xfId="0" applyFont="1" applyBorder="1" applyAlignment="1">
      <alignment horizontal="right" vertical="center"/>
    </xf>
    <xf numFmtId="0" fontId="0" fillId="0" borderId="155" xfId="0" applyFont="1" applyBorder="1" applyAlignment="1">
      <alignment horizontal="right" vertical="center"/>
    </xf>
    <xf numFmtId="38" fontId="21" fillId="0" borderId="157" xfId="20" applyFont="1" applyBorder="1" applyAlignment="1">
      <alignment horizontal="right" vertical="center"/>
    </xf>
    <xf numFmtId="38" fontId="21" fillId="0" borderId="155" xfId="20" applyFont="1" applyBorder="1" applyAlignment="1">
      <alignment horizontal="right" vertical="center"/>
    </xf>
    <xf numFmtId="0" fontId="0" fillId="0" borderId="117" xfId="0" applyFont="1" applyBorder="1" applyAlignment="1">
      <alignment horizontal="right" vertical="center"/>
    </xf>
    <xf numFmtId="0" fontId="30" fillId="0" borderId="26" xfId="0" applyFont="1" applyBorder="1" applyAlignment="1">
      <alignment horizontal="right" vertical="center"/>
    </xf>
    <xf numFmtId="0" fontId="30" fillId="0" borderId="32" xfId="0" applyFont="1" applyBorder="1" applyAlignment="1">
      <alignment horizontal="center" vertical="center" justifyLastLine="1"/>
    </xf>
    <xf numFmtId="0" fontId="30" fillId="0" borderId="33" xfId="0" applyFont="1" applyBorder="1" applyAlignment="1">
      <alignment horizontal="center" vertical="center" justifyLastLine="1"/>
    </xf>
    <xf numFmtId="0" fontId="30" fillId="0" borderId="36" xfId="0" applyFont="1" applyBorder="1" applyAlignment="1">
      <alignment horizontal="left" vertical="center" indent="1"/>
    </xf>
    <xf numFmtId="0" fontId="30" fillId="0" borderId="37" xfId="0" applyFont="1" applyBorder="1" applyAlignment="1">
      <alignment horizontal="left" vertical="center" indent="1"/>
    </xf>
    <xf numFmtId="1" fontId="43" fillId="0" borderId="27" xfId="0" applyNumberFormat="1" applyFont="1" applyBorder="1" applyAlignment="1">
      <alignment horizontal="center"/>
    </xf>
    <xf numFmtId="0" fontId="43" fillId="0" borderId="27" xfId="0" applyFont="1" applyBorder="1" applyAlignment="1">
      <alignment horizontal="center"/>
    </xf>
    <xf numFmtId="1" fontId="43" fillId="0" borderId="28" xfId="0" applyNumberFormat="1" applyFont="1" applyBorder="1" applyAlignment="1">
      <alignment horizontal="center"/>
    </xf>
    <xf numFmtId="1" fontId="43" fillId="0" borderId="74" xfId="0" applyNumberFormat="1" applyFont="1" applyBorder="1" applyAlignment="1">
      <alignment horizontal="center"/>
    </xf>
    <xf numFmtId="1" fontId="43" fillId="0" borderId="2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5" xfId="0" applyFont="1" applyFill="1" applyBorder="1" applyAlignment="1">
      <alignment horizontal="center" vertical="center" textRotation="255"/>
    </xf>
    <xf numFmtId="0" fontId="30" fillId="0" borderId="7" xfId="0" applyFont="1" applyFill="1" applyBorder="1" applyAlignment="1">
      <alignment horizontal="center" vertical="center" textRotation="255"/>
    </xf>
    <xf numFmtId="0" fontId="30" fillId="0" borderId="3" xfId="0" applyFont="1" applyFill="1" applyBorder="1" applyAlignment="1">
      <alignment horizontal="center" vertical="center" textRotation="255"/>
    </xf>
    <xf numFmtId="0" fontId="30" fillId="0" borderId="4" xfId="0" applyFont="1" applyFill="1" applyBorder="1" applyAlignment="1">
      <alignment horizontal="center" vertical="center" textRotation="255"/>
    </xf>
    <xf numFmtId="0" fontId="30" fillId="0" borderId="27" xfId="0" applyFont="1" applyBorder="1" applyAlignment="1">
      <alignment horizontal="center" vertical="center" textRotation="255"/>
    </xf>
    <xf numFmtId="0" fontId="30" fillId="0" borderId="122" xfId="0" applyFont="1" applyBorder="1" applyAlignment="1">
      <alignment horizontal="center" vertical="center" textRotation="255"/>
    </xf>
    <xf numFmtId="0" fontId="31" fillId="0" borderId="34" xfId="0" applyFont="1" applyBorder="1" applyAlignment="1">
      <alignment horizontal="center" vertical="center" textRotation="255"/>
    </xf>
    <xf numFmtId="0" fontId="31" fillId="0" borderId="35" xfId="0" applyFont="1" applyBorder="1" applyAlignment="1">
      <alignment horizontal="center" vertical="center" textRotation="255"/>
    </xf>
    <xf numFmtId="0" fontId="31" fillId="0" borderId="36" xfId="0" applyFont="1" applyBorder="1" applyAlignment="1">
      <alignment horizontal="center" vertical="center" textRotation="255"/>
    </xf>
    <xf numFmtId="0" fontId="31" fillId="0" borderId="37" xfId="0" applyFont="1" applyBorder="1" applyAlignment="1">
      <alignment horizontal="center" vertical="center" textRotation="255"/>
    </xf>
    <xf numFmtId="0" fontId="30" fillId="0" borderId="5" xfId="0" applyFont="1" applyBorder="1" applyAlignment="1">
      <alignment horizontal="center" vertical="center" textRotation="255"/>
    </xf>
    <xf numFmtId="0" fontId="30" fillId="0" borderId="7" xfId="0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textRotation="255"/>
    </xf>
    <xf numFmtId="0" fontId="30" fillId="0" borderId="4" xfId="0" applyFont="1" applyBorder="1" applyAlignment="1">
      <alignment horizontal="center" vertical="center" textRotation="255"/>
    </xf>
    <xf numFmtId="0" fontId="30" fillId="0" borderId="9" xfId="0" applyFont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0" fontId="30" fillId="0" borderId="196" xfId="0" applyFont="1" applyBorder="1" applyAlignment="1">
      <alignment horizontal="center" vertical="center" textRotation="255"/>
    </xf>
    <xf numFmtId="0" fontId="30" fillId="0" borderId="34" xfId="0" applyFont="1" applyBorder="1" applyAlignment="1">
      <alignment horizontal="center" vertical="center" textRotation="255"/>
    </xf>
    <xf numFmtId="0" fontId="30" fillId="0" borderId="36" xfId="0" applyFont="1" applyBorder="1" applyAlignment="1">
      <alignment horizontal="center" vertical="center" textRotation="255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16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/>
    </xf>
    <xf numFmtId="0" fontId="30" fillId="0" borderId="15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vertical="center" textRotation="255" shrinkToFit="1"/>
    </xf>
    <xf numFmtId="0" fontId="30" fillId="0" borderId="36" xfId="0" applyFont="1" applyBorder="1" applyAlignment="1">
      <alignment horizontal="center" vertical="center" textRotation="255" shrinkToFit="1"/>
    </xf>
    <xf numFmtId="0" fontId="30" fillId="0" borderId="26" xfId="0" applyFont="1" applyBorder="1" applyAlignment="1">
      <alignment horizontal="center" vertical="center" textRotation="255" shrinkToFit="1"/>
    </xf>
    <xf numFmtId="0" fontId="30" fillId="0" borderId="21" xfId="0" applyFont="1" applyBorder="1" applyAlignment="1">
      <alignment horizontal="center" vertical="center" textRotation="255" shrinkToFit="1"/>
    </xf>
    <xf numFmtId="0" fontId="30" fillId="0" borderId="59" xfId="0" applyFont="1" applyBorder="1" applyAlignment="1">
      <alignment horizontal="center" vertical="center" textRotation="255" shrinkToFit="1"/>
    </xf>
    <xf numFmtId="0" fontId="43" fillId="0" borderId="36" xfId="0" applyFont="1" applyBorder="1" applyAlignment="1">
      <alignment horizontal="center" vertical="center" textRotation="255" shrinkToFit="1"/>
    </xf>
    <xf numFmtId="0" fontId="43" fillId="0" borderId="26" xfId="0" applyFont="1" applyBorder="1" applyAlignment="1">
      <alignment horizontal="center" vertical="center" textRotation="255" shrinkToFit="1"/>
    </xf>
    <xf numFmtId="0" fontId="43" fillId="0" borderId="32" xfId="0" applyFont="1" applyBorder="1" applyAlignment="1">
      <alignment horizontal="center" vertical="center" textRotation="255" shrinkToFit="1"/>
    </xf>
    <xf numFmtId="0" fontId="43" fillId="0" borderId="41" xfId="0" applyFont="1" applyBorder="1" applyAlignment="1">
      <alignment horizontal="center" vertical="center" textRotation="255" shrinkToFit="1"/>
    </xf>
    <xf numFmtId="0" fontId="30" fillId="0" borderId="28" xfId="0" applyFont="1" applyBorder="1" applyAlignment="1">
      <alignment horizontal="center" vertical="center" textRotation="255" shrinkToFit="1"/>
    </xf>
    <xf numFmtId="0" fontId="30" fillId="0" borderId="163" xfId="0" applyFont="1" applyBorder="1" applyAlignment="1">
      <alignment horizontal="center" vertical="center" textRotation="255" shrinkToFit="1"/>
    </xf>
    <xf numFmtId="0" fontId="69" fillId="0" borderId="27" xfId="0" applyFont="1" applyBorder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textRotation="255"/>
    </xf>
    <xf numFmtId="0" fontId="30" fillId="0" borderId="20" xfId="0" applyFont="1" applyBorder="1" applyAlignment="1">
      <alignment horizontal="center" vertical="center" textRotation="255"/>
    </xf>
    <xf numFmtId="0" fontId="30" fillId="0" borderId="35" xfId="0" applyFont="1" applyBorder="1" applyAlignment="1">
      <alignment horizontal="center" vertical="center" textRotation="255"/>
    </xf>
    <xf numFmtId="0" fontId="30" fillId="0" borderId="37" xfId="0" applyFont="1" applyBorder="1" applyAlignment="1">
      <alignment horizontal="center" vertical="center" textRotation="255"/>
    </xf>
    <xf numFmtId="0" fontId="30" fillId="0" borderId="32" xfId="0" applyFont="1" applyBorder="1" applyAlignment="1">
      <alignment horizontal="center" vertical="center" textRotation="255"/>
    </xf>
    <xf numFmtId="0" fontId="30" fillId="0" borderId="41" xfId="0" applyFont="1" applyBorder="1" applyAlignment="1">
      <alignment horizontal="center" vertical="center" textRotation="255"/>
    </xf>
    <xf numFmtId="0" fontId="30" fillId="0" borderId="0" xfId="0" applyFont="1" applyBorder="1" applyAlignment="1">
      <alignment horizontal="center" vertical="center" textRotation="255"/>
    </xf>
    <xf numFmtId="0" fontId="30" fillId="0" borderId="64" xfId="0" applyFont="1" applyBorder="1" applyAlignment="1">
      <alignment horizontal="center" vertical="center" textRotation="255"/>
    </xf>
    <xf numFmtId="0" fontId="30" fillId="0" borderId="60" xfId="0" applyFont="1" applyBorder="1" applyAlignment="1">
      <alignment horizontal="center" vertical="center" textRotation="255"/>
    </xf>
    <xf numFmtId="0" fontId="30" fillId="0" borderId="18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66" xfId="0" applyFont="1" applyBorder="1" applyAlignment="1">
      <alignment horizontal="center" vertical="center" wrapText="1"/>
    </xf>
    <xf numFmtId="0" fontId="30" fillId="0" borderId="182" xfId="0" applyFont="1" applyBorder="1" applyAlignment="1">
      <alignment horizontal="center" vertical="center"/>
    </xf>
    <xf numFmtId="0" fontId="30" fillId="0" borderId="168" xfId="0" applyFont="1" applyBorder="1" applyAlignment="1">
      <alignment horizontal="center" vertical="center"/>
    </xf>
    <xf numFmtId="0" fontId="30" fillId="0" borderId="184" xfId="0" applyFont="1" applyBorder="1" applyAlignment="1">
      <alignment horizontal="center"/>
    </xf>
    <xf numFmtId="0" fontId="30" fillId="0" borderId="182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30" fillId="0" borderId="59" xfId="0" applyFont="1" applyBorder="1" applyAlignment="1">
      <alignment horizontal="center" vertical="center" textRotation="255"/>
    </xf>
    <xf numFmtId="0" fontId="30" fillId="0" borderId="33" xfId="0" applyFont="1" applyBorder="1" applyAlignment="1">
      <alignment horizontal="center"/>
    </xf>
    <xf numFmtId="0" fontId="30" fillId="0" borderId="36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1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 textRotation="255"/>
    </xf>
    <xf numFmtId="0" fontId="30" fillId="0" borderId="77" xfId="0" applyFont="1" applyBorder="1" applyAlignment="1">
      <alignment horizontal="center" vertical="center" textRotation="255"/>
    </xf>
    <xf numFmtId="0" fontId="30" fillId="0" borderId="192" xfId="0" applyFont="1" applyFill="1" applyBorder="1" applyAlignment="1">
      <alignment horizontal="center" vertical="center"/>
    </xf>
    <xf numFmtId="0" fontId="30" fillId="0" borderId="195" xfId="0" applyFont="1" applyBorder="1" applyAlignment="1">
      <alignment horizontal="center" vertical="center" textRotation="255"/>
    </xf>
    <xf numFmtId="0" fontId="30" fillId="0" borderId="197" xfId="0" applyFont="1" applyBorder="1" applyAlignment="1">
      <alignment horizontal="center" vertical="center" textRotation="255"/>
    </xf>
    <xf numFmtId="0" fontId="30" fillId="0" borderId="61" xfId="0" applyFont="1" applyBorder="1" applyAlignment="1">
      <alignment horizontal="center" vertical="center" textRotation="255"/>
    </xf>
    <xf numFmtId="0" fontId="30" fillId="0" borderId="196" xfId="0" applyFont="1" applyFill="1" applyBorder="1" applyAlignment="1">
      <alignment horizontal="center" vertical="center"/>
    </xf>
    <xf numFmtId="0" fontId="30" fillId="0" borderId="198" xfId="0" applyFont="1" applyFill="1" applyBorder="1" applyAlignment="1">
      <alignment horizontal="center" vertical="center"/>
    </xf>
    <xf numFmtId="0" fontId="30" fillId="0" borderId="197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 textRotation="255"/>
    </xf>
    <xf numFmtId="0" fontId="30" fillId="0" borderId="19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Comma [0]" xfId="7" xr:uid="{00000000-0005-0000-0000-000006000000}"/>
    <cellStyle name="Excel Built-in Explanatory Text" xfId="8" xr:uid="{00000000-0005-0000-0000-000007000000}"/>
    <cellStyle name="Excel Built-in Explanatory Text 2" xfId="9" xr:uid="{00000000-0005-0000-0000-000008000000}"/>
    <cellStyle name="Footnote" xfId="10" xr:uid="{00000000-0005-0000-0000-000009000000}"/>
    <cellStyle name="Good" xfId="11" xr:uid="{00000000-0005-0000-0000-00000A000000}"/>
    <cellStyle name="Heading" xfId="12" xr:uid="{00000000-0005-0000-0000-00000B000000}"/>
    <cellStyle name="Heading 1" xfId="13" xr:uid="{00000000-0005-0000-0000-00000C000000}"/>
    <cellStyle name="Heading 2" xfId="14" xr:uid="{00000000-0005-0000-0000-00000D000000}"/>
    <cellStyle name="Neutral" xfId="15" xr:uid="{00000000-0005-0000-0000-00000E000000}"/>
    <cellStyle name="Note" xfId="16" xr:uid="{00000000-0005-0000-0000-00000F000000}"/>
    <cellStyle name="Status" xfId="17" xr:uid="{00000000-0005-0000-0000-000010000000}"/>
    <cellStyle name="Text" xfId="18" xr:uid="{00000000-0005-0000-0000-000011000000}"/>
    <cellStyle name="Warning" xfId="19" xr:uid="{00000000-0005-0000-0000-000012000000}"/>
    <cellStyle name="パーセント" xfId="24" builtinId="5"/>
    <cellStyle name="桁区切り" xfId="23" builtinId="6"/>
    <cellStyle name="桁区切り 2" xfId="20" xr:uid="{00000000-0005-0000-0000-000015000000}"/>
    <cellStyle name="標準" xfId="0" builtinId="0"/>
    <cellStyle name="標準 2" xfId="21" xr:uid="{00000000-0005-0000-0000-000017000000}"/>
    <cellStyle name="標準_12表その1_概要14の試し" xfId="25" xr:uid="{00000000-0005-0000-0000-000018000000}"/>
    <cellStyle name="標準_20chapter03円" xfId="22" xr:uid="{00000000-0005-0000-0000-00001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＜世帯数、被保険者総数（東京都・特別区・多摩地区・組合）＞</a:t>
            </a:r>
          </a:p>
        </c:rich>
      </c:tx>
      <c:layout>
        <c:manualLayout>
          <c:xMode val="edge"/>
          <c:yMode val="edge"/>
          <c:x val="4.7694753577106515E-2"/>
          <c:y val="3.9295444951840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5898251192368"/>
          <c:y val="0.14905168774835884"/>
          <c:w val="0.78537360890302066"/>
          <c:h val="0.80758914452747144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図1!$N$30</c:f>
              <c:strCache>
                <c:ptCount val="1"/>
                <c:pt idx="0">
                  <c:v>島しょ地区世帯数</c:v>
                </c:pt>
              </c:strCache>
            </c:strRef>
          </c:tx>
          <c:spPr>
            <a:pattFill prst="dkUpDiag">
              <a:fgClr>
                <a:schemeClr val="accent3">
                  <a:lumMod val="75000"/>
                </a:schemeClr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図1!$M$31:$M$40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図1!$N$31:$N$40</c:f>
              <c:numCache>
                <c:formatCode>#,##0.0000;[Red]\-#,##0.0000</c:formatCode>
                <c:ptCount val="10"/>
                <c:pt idx="0">
                  <c:v>0.72230000000000005</c:v>
                </c:pt>
                <c:pt idx="1">
                  <c:v>0.70669999999999999</c:v>
                </c:pt>
                <c:pt idx="2">
                  <c:v>0.68210000000000004</c:v>
                </c:pt>
                <c:pt idx="3">
                  <c:v>0.65759999999999996</c:v>
                </c:pt>
                <c:pt idx="4">
                  <c:v>0.63539999999999996</c:v>
                </c:pt>
                <c:pt idx="5">
                  <c:v>0.6109</c:v>
                </c:pt>
                <c:pt idx="6">
                  <c:v>0.58609999999999995</c:v>
                </c:pt>
                <c:pt idx="7">
                  <c:v>0.5625</c:v>
                </c:pt>
                <c:pt idx="8">
                  <c:v>0.53920000000000001</c:v>
                </c:pt>
                <c:pt idx="9">
                  <c:v>0.52290000000000003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2-46C4-B847-E15F1417A6FA}"/>
            </c:ext>
          </c:extLst>
        </c:ser>
        <c:ser>
          <c:idx val="5"/>
          <c:order val="5"/>
          <c:tx>
            <c:strRef>
              <c:f>図1!$P$8</c:f>
              <c:strCache>
                <c:ptCount val="1"/>
                <c:pt idx="0">
                  <c:v>組合世帯数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図1!$M$9:$M$18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図1!$P$9:$P$18</c:f>
              <c:numCache>
                <c:formatCode>#,##0.0000;[Red]\-#,##0.0000</c:formatCode>
                <c:ptCount val="10"/>
                <c:pt idx="0">
                  <c:v>62.022500000000001</c:v>
                </c:pt>
                <c:pt idx="1">
                  <c:v>60.7119</c:v>
                </c:pt>
                <c:pt idx="2">
                  <c:v>60.4251</c:v>
                </c:pt>
                <c:pt idx="3">
                  <c:v>60.491500000000002</c:v>
                </c:pt>
                <c:pt idx="4">
                  <c:v>60.663899999999998</c:v>
                </c:pt>
                <c:pt idx="5">
                  <c:v>61.047699999999999</c:v>
                </c:pt>
                <c:pt idx="6">
                  <c:v>61.239600000000003</c:v>
                </c:pt>
                <c:pt idx="7">
                  <c:v>61.825000000000003</c:v>
                </c:pt>
                <c:pt idx="8">
                  <c:v>62.063400000000001</c:v>
                </c:pt>
                <c:pt idx="9">
                  <c:v>62.180999999999997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2-46C4-B847-E15F1417A6FA}"/>
            </c:ext>
          </c:extLst>
        </c:ser>
        <c:ser>
          <c:idx val="4"/>
          <c:order val="6"/>
          <c:tx>
            <c:strRef>
              <c:f>図1!$O$8</c:f>
              <c:strCache>
                <c:ptCount val="1"/>
                <c:pt idx="0">
                  <c:v>多摩地区世帯数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chemeClr val="accent4">
                  <a:lumMod val="75000"/>
                </a:schemeClr>
              </a:solidFill>
              <a:prstDash val="solid"/>
            </a:ln>
          </c:spPr>
          <c:invertIfNegative val="1"/>
          <c:cat>
            <c:strRef>
              <c:f>図1!$M$9:$M$18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図1!$O$9:$O$18</c:f>
              <c:numCache>
                <c:formatCode>#,##0.0000;[Red]\-#,##0.0000</c:formatCode>
                <c:ptCount val="10"/>
                <c:pt idx="0">
                  <c:v>68.799400000000006</c:v>
                </c:pt>
                <c:pt idx="1">
                  <c:v>68.537300000000002</c:v>
                </c:pt>
                <c:pt idx="2">
                  <c:v>67.747399999999999</c:v>
                </c:pt>
                <c:pt idx="3">
                  <c:v>66.339399999999998</c:v>
                </c:pt>
                <c:pt idx="4">
                  <c:v>63.945900000000002</c:v>
                </c:pt>
                <c:pt idx="5">
                  <c:v>62.118200000000002</c:v>
                </c:pt>
                <c:pt idx="6">
                  <c:v>60.566699999999997</c:v>
                </c:pt>
                <c:pt idx="7">
                  <c:v>59.5869</c:v>
                </c:pt>
                <c:pt idx="8">
                  <c:v>59.368699999999997</c:v>
                </c:pt>
                <c:pt idx="9">
                  <c:v>58.450499999999998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2-46C4-B847-E15F1417A6FA}"/>
            </c:ext>
          </c:extLst>
        </c:ser>
        <c:ser>
          <c:idx val="6"/>
          <c:order val="7"/>
          <c:tx>
            <c:strRef>
              <c:f>図1!$Q$8</c:f>
              <c:strCache>
                <c:ptCount val="1"/>
                <c:pt idx="0">
                  <c:v>特別区世帯数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3366"/>
              </a:solidFill>
              <a:prstDash val="solid"/>
            </a:ln>
          </c:spPr>
          <c:invertIfNegative val="0"/>
          <c:cat>
            <c:strRef>
              <c:f>図1!$M$9:$M$18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図1!$Q$9:$Q$18</c:f>
              <c:numCache>
                <c:formatCode>#,##0.0000;[Red]\-#,##0.0000</c:formatCode>
                <c:ptCount val="10"/>
                <c:pt idx="0">
                  <c:v>167.52699999999999</c:v>
                </c:pt>
                <c:pt idx="1">
                  <c:v>166.62530000000001</c:v>
                </c:pt>
                <c:pt idx="2">
                  <c:v>164.90979999999999</c:v>
                </c:pt>
                <c:pt idx="3">
                  <c:v>162.0275</c:v>
                </c:pt>
                <c:pt idx="4">
                  <c:v>156.57390000000001</c:v>
                </c:pt>
                <c:pt idx="5">
                  <c:v>151.77420000000001</c:v>
                </c:pt>
                <c:pt idx="6">
                  <c:v>148.0017</c:v>
                </c:pt>
                <c:pt idx="7">
                  <c:v>143.96549999999999</c:v>
                </c:pt>
                <c:pt idx="8">
                  <c:v>141.00479999999999</c:v>
                </c:pt>
                <c:pt idx="9">
                  <c:v>136.53819999999999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2-46C4-B847-E15F1417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109792"/>
        <c:axId val="374108616"/>
      </c:barChart>
      <c:lineChart>
        <c:grouping val="standard"/>
        <c:varyColors val="0"/>
        <c:ser>
          <c:idx val="3"/>
          <c:order val="1"/>
          <c:tx>
            <c:strRef>
              <c:f>図1!$N$19</c:f>
              <c:strCache>
                <c:ptCount val="1"/>
                <c:pt idx="0">
                  <c:v>都計被保険者数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図1!$M$20:$M$29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図1!$N$20:$N$29</c:f>
              <c:numCache>
                <c:formatCode>#,##0_);[Red]\(#,##0\)</c:formatCode>
                <c:ptCount val="10"/>
                <c:pt idx="0">
                  <c:v>508.85749999999996</c:v>
                </c:pt>
                <c:pt idx="1">
                  <c:v>499.0061</c:v>
                </c:pt>
                <c:pt idx="2">
                  <c:v>488.14850000000001</c:v>
                </c:pt>
                <c:pt idx="3">
                  <c:v>473.96889999999996</c:v>
                </c:pt>
                <c:pt idx="4">
                  <c:v>453.67019999999997</c:v>
                </c:pt>
                <c:pt idx="5">
                  <c:v>437.03219999999999</c:v>
                </c:pt>
                <c:pt idx="6">
                  <c:v>423.66750000000002</c:v>
                </c:pt>
                <c:pt idx="7">
                  <c:v>412.51120000000003</c:v>
                </c:pt>
                <c:pt idx="8">
                  <c:v>405.44740000000002</c:v>
                </c:pt>
                <c:pt idx="9">
                  <c:v>394.39840000000004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A2-46C4-B847-E15F1417A6FA}"/>
            </c:ext>
          </c:extLst>
        </c:ser>
        <c:ser>
          <c:idx val="2"/>
          <c:order val="2"/>
          <c:tx>
            <c:strRef>
              <c:f>図1!$Q$19</c:f>
              <c:strCache>
                <c:ptCount val="1"/>
                <c:pt idx="0">
                  <c:v>特別区被保険者数</c:v>
                </c:pt>
              </c:strCache>
            </c:strRef>
          </c:tx>
          <c:spPr>
            <a:ln w="254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図1!$M$20:$M$29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図1!$Q$20:$Q$29</c:f>
              <c:numCache>
                <c:formatCode>#,##0.0000;[Red]\-#,##0.0000</c:formatCode>
                <c:ptCount val="10"/>
                <c:pt idx="0">
                  <c:v>256.86860000000001</c:v>
                </c:pt>
                <c:pt idx="1">
                  <c:v>252.62889999999999</c:v>
                </c:pt>
                <c:pt idx="2">
                  <c:v>246.7936</c:v>
                </c:pt>
                <c:pt idx="3">
                  <c:v>238.31389999999999</c:v>
                </c:pt>
                <c:pt idx="4">
                  <c:v>225.79429999999999</c:v>
                </c:pt>
                <c:pt idx="5">
                  <c:v>214.89169999999999</c:v>
                </c:pt>
                <c:pt idx="6">
                  <c:v>206.37690000000001</c:v>
                </c:pt>
                <c:pt idx="7">
                  <c:v>198.2079</c:v>
                </c:pt>
                <c:pt idx="8">
                  <c:v>192.8366</c:v>
                </c:pt>
                <c:pt idx="9">
                  <c:v>185.04859999999999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A2-46C4-B847-E15F1417A6FA}"/>
            </c:ext>
          </c:extLst>
        </c:ser>
        <c:ser>
          <c:idx val="0"/>
          <c:order val="3"/>
          <c:tx>
            <c:strRef>
              <c:f>図1!$P$19</c:f>
              <c:strCache>
                <c:ptCount val="1"/>
                <c:pt idx="0">
                  <c:v>多摩地区被保険者数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図1!$M$20:$M$29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図1!$P$20:$P$29</c:f>
              <c:numCache>
                <c:formatCode>#,##0.0000;[Red]\-#,##0.0000</c:formatCode>
                <c:ptCount val="10"/>
                <c:pt idx="0">
                  <c:v>114.511</c:v>
                </c:pt>
                <c:pt idx="1">
                  <c:v>112.809</c:v>
                </c:pt>
                <c:pt idx="2">
                  <c:v>109.90989999999999</c:v>
                </c:pt>
                <c:pt idx="3">
                  <c:v>105.7684</c:v>
                </c:pt>
                <c:pt idx="4">
                  <c:v>99.829499999999996</c:v>
                </c:pt>
                <c:pt idx="5">
                  <c:v>95.180400000000006</c:v>
                </c:pt>
                <c:pt idx="6">
                  <c:v>91.383899999999997</c:v>
                </c:pt>
                <c:pt idx="7">
                  <c:v>88.701899999999995</c:v>
                </c:pt>
                <c:pt idx="8">
                  <c:v>87.599000000000004</c:v>
                </c:pt>
                <c:pt idx="9">
                  <c:v>85.323499999999996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A2-46C4-B847-E15F1417A6FA}"/>
            </c:ext>
          </c:extLst>
        </c:ser>
        <c:ser>
          <c:idx val="1"/>
          <c:order val="4"/>
          <c:tx>
            <c:strRef>
              <c:f>図1!$O$19</c:f>
              <c:strCache>
                <c:ptCount val="1"/>
                <c:pt idx="0">
                  <c:v>組合被保険者数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図1!$M$20:$M$29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図1!$O$20:$O$29</c:f>
              <c:numCache>
                <c:formatCode>#,##0.0000;[Red]\-#,##0.0000</c:formatCode>
                <c:ptCount val="10"/>
                <c:pt idx="0">
                  <c:v>136.27529999999999</c:v>
                </c:pt>
                <c:pt idx="1">
                  <c:v>132.404</c:v>
                </c:pt>
                <c:pt idx="2">
                  <c:v>130.3323</c:v>
                </c:pt>
                <c:pt idx="3">
                  <c:v>128.8271</c:v>
                </c:pt>
                <c:pt idx="4">
                  <c:v>127.03740000000001</c:v>
                </c:pt>
                <c:pt idx="5">
                  <c:v>126.0065</c:v>
                </c:pt>
                <c:pt idx="6">
                  <c:v>125.0034</c:v>
                </c:pt>
                <c:pt idx="7">
                  <c:v>124.7448</c:v>
                </c:pt>
                <c:pt idx="8">
                  <c:v>124.1949</c:v>
                </c:pt>
                <c:pt idx="9">
                  <c:v>123.2467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A2-46C4-B847-E15F1417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11360"/>
        <c:axId val="374110576"/>
      </c:lineChart>
      <c:catAx>
        <c:axId val="37410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7440381558028635"/>
              <c:y val="0.967480955021165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4108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10861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［世帯数］</a:t>
                </a:r>
              </a:p>
            </c:rich>
          </c:tx>
          <c:layout>
            <c:manualLayout>
              <c:xMode val="edge"/>
              <c:yMode val="edge"/>
              <c:x val="7.9491255961844226E-3"/>
              <c:y val="0.166666887209528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4109792"/>
        <c:crosses val="autoZero"/>
        <c:crossBetween val="between"/>
        <c:majorUnit val="100"/>
        <c:minorUnit val="50"/>
      </c:valAx>
      <c:catAx>
        <c:axId val="37411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74110576"/>
        <c:crosses val="autoZero"/>
        <c:auto val="0"/>
        <c:lblAlgn val="ctr"/>
        <c:lblOffset val="100"/>
        <c:noMultiLvlLbl val="0"/>
      </c:catAx>
      <c:valAx>
        <c:axId val="374110576"/>
        <c:scaling>
          <c:orientation val="minMax"/>
          <c:max val="8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［被保険者数］</a:t>
                </a:r>
              </a:p>
            </c:rich>
          </c:tx>
          <c:layout>
            <c:manualLayout>
              <c:xMode val="edge"/>
              <c:yMode val="edge"/>
              <c:x val="0.93640699523052451"/>
              <c:y val="0.165311871866361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41113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968733439321673"/>
          <c:y val="0.1115632090704109"/>
          <c:w val="0.27980922098569166"/>
          <c:h val="0.18970214804336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&amp;C&amp;[－&amp;P+5&amp;[－                                                                                                                                         </c:oddFooter>
    </c:headerFooter>
    <c:pageMargins b="0.98399999999999999" l="0.78700000000000003" r="0.78700000000000003" t="0.98399999999999999" header="0.5" footer="0.5"/>
    <c:pageSetup paperSize="9"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特別区 ＞</a:t>
            </a:r>
          </a:p>
        </c:rich>
      </c:tx>
      <c:layout>
        <c:manualLayout>
          <c:xMode val="edge"/>
          <c:yMode val="edge"/>
          <c:x val="7.142872765904261E-2"/>
          <c:y val="8.7260109435473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6187976502943E-2"/>
          <c:y val="0.29314196777783258"/>
          <c:w val="0.84771950381202354"/>
          <c:h val="0.673527731231471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図3!$N$8</c:f>
              <c:strCache>
                <c:ptCount val="1"/>
                <c:pt idx="0">
                  <c:v>保険料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図3!$N$9:$N$13</c:f>
              <c:numCache>
                <c:formatCode>#,##0.0_ ;[Red]\-#,##0.0\ </c:formatCode>
                <c:ptCount val="5"/>
                <c:pt idx="0">
                  <c:v>22.6</c:v>
                </c:pt>
                <c:pt idx="1">
                  <c:v>25.7</c:v>
                </c:pt>
                <c:pt idx="2">
                  <c:v>26.1</c:v>
                </c:pt>
                <c:pt idx="3">
                  <c:v>25.8</c:v>
                </c:pt>
                <c:pt idx="4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B-4464-9642-2E2752706F10}"/>
            </c:ext>
          </c:extLst>
        </c:ser>
        <c:ser>
          <c:idx val="1"/>
          <c:order val="1"/>
          <c:tx>
            <c:strRef>
              <c:f>図3!$O$8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図3!$O$9:$O$13</c:f>
              <c:numCache>
                <c:formatCode>#,##0.0_ ;[Red]\-#,##0.0\ </c:formatCode>
                <c:ptCount val="5"/>
                <c:pt idx="0">
                  <c:v>19.7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B-4464-9642-2E2752706F10}"/>
            </c:ext>
          </c:extLst>
        </c:ser>
        <c:ser>
          <c:idx val="2"/>
          <c:order val="2"/>
          <c:tx>
            <c:strRef>
              <c:f>図3!$P$8</c:f>
              <c:strCache>
                <c:ptCount val="1"/>
                <c:pt idx="0">
                  <c:v>療養給付費交付金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1904761904761977E-2"/>
                  <c:y val="1.2797990609109102E-16"/>
                </c:manualLayout>
              </c:layout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3B-4464-9642-2E2752706F10}"/>
                </c:ext>
              </c:extLst>
            </c:dLbl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図3!$P$9:$P$13</c:f>
              <c:numCache>
                <c:formatCode>#,##0.0_ ;[Red]\-#,##0.0\ </c:formatCode>
                <c:ptCount val="5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3B-4464-9642-2E2752706F10}"/>
            </c:ext>
          </c:extLst>
        </c:ser>
        <c:ser>
          <c:idx val="3"/>
          <c:order val="3"/>
          <c:tx>
            <c:strRef>
              <c:f>図3!$Q$8</c:f>
              <c:strCache>
                <c:ptCount val="1"/>
                <c:pt idx="0">
                  <c:v>都支出金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図3!$Q$9:$Q$13</c:f>
              <c:numCache>
                <c:formatCode>#,##0.0_ ;[Red]\-#,##0.0\ </c:formatCode>
                <c:ptCount val="5"/>
                <c:pt idx="0">
                  <c:v>5.3</c:v>
                </c:pt>
                <c:pt idx="1">
                  <c:v>60.1</c:v>
                </c:pt>
                <c:pt idx="2">
                  <c:v>61.7</c:v>
                </c:pt>
                <c:pt idx="3">
                  <c:v>61.5</c:v>
                </c:pt>
                <c:pt idx="4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3B-4464-9642-2E2752706F10}"/>
            </c:ext>
          </c:extLst>
        </c:ser>
        <c:ser>
          <c:idx val="4"/>
          <c:order val="4"/>
          <c:tx>
            <c:strRef>
              <c:f>図3!$R$8</c:f>
              <c:strCache>
                <c:ptCount val="1"/>
                <c:pt idx="0">
                  <c:v>一般会計繰入金</c:v>
                </c:pt>
              </c:strCache>
            </c:strRef>
          </c:tx>
          <c:spPr>
            <a:pattFill prst="lt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図3!$R$9:$R$13</c:f>
              <c:numCache>
                <c:formatCode>#,##0.0_ ;[Red]\-#,##0.0\ </c:formatCode>
                <c:ptCount val="5"/>
                <c:pt idx="0">
                  <c:v>9.6999999999999993</c:v>
                </c:pt>
                <c:pt idx="1">
                  <c:v>10.5</c:v>
                </c:pt>
                <c:pt idx="2">
                  <c:v>10.4</c:v>
                </c:pt>
                <c:pt idx="3">
                  <c:v>9.8000000000000007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3B-4464-9642-2E2752706F10}"/>
            </c:ext>
          </c:extLst>
        </c:ser>
        <c:ser>
          <c:idx val="5"/>
          <c:order val="5"/>
          <c:tx>
            <c:strRef>
              <c:f>図3!$S$8</c:f>
              <c:strCache>
                <c:ptCount val="1"/>
                <c:pt idx="0">
                  <c:v>共同事業交付金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図3!$S$9:$S$13</c:f>
              <c:numCache>
                <c:formatCode>#,##0.0_ ;[Red]\-#,##0.0\ </c:formatCode>
                <c:ptCount val="5"/>
                <c:pt idx="0">
                  <c:v>23.9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3B-4464-9642-2E2752706F10}"/>
            </c:ext>
          </c:extLst>
        </c:ser>
        <c:ser>
          <c:idx val="6"/>
          <c:order val="6"/>
          <c:tx>
            <c:strRef>
              <c:f>図3!$T$8</c:f>
              <c:strCache>
                <c:ptCount val="1"/>
                <c:pt idx="0">
                  <c:v>前期高齢者交付金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図3!$T$9:$T$13</c:f>
              <c:numCache>
                <c:formatCode>#,##0.0_ ;[Red]\-#,##0.0\ </c:formatCode>
                <c:ptCount val="5"/>
                <c:pt idx="0">
                  <c:v>15.3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3B-4464-9642-2E2752706F10}"/>
            </c:ext>
          </c:extLst>
        </c:ser>
        <c:ser>
          <c:idx val="7"/>
          <c:order val="7"/>
          <c:tx>
            <c:strRef>
              <c:f>図3!$U$8</c:f>
              <c:strCache>
                <c:ptCount val="1"/>
                <c:pt idx="0">
                  <c:v>その他収入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33B-4464-9642-2E2752706F10}"/>
                </c:ext>
              </c:extLst>
            </c:dLbl>
            <c:dLbl>
              <c:idx val="1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33B-4464-9642-2E2752706F10}"/>
                </c:ext>
              </c:extLst>
            </c:dLbl>
            <c:dLbl>
              <c:idx val="2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33B-4464-9642-2E2752706F10}"/>
                </c:ext>
              </c:extLst>
            </c:dLbl>
            <c:dLbl>
              <c:idx val="3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33B-4464-9642-2E2752706F10}"/>
                </c:ext>
              </c:extLst>
            </c:dLbl>
            <c:dLbl>
              <c:idx val="4"/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33B-4464-9642-2E2752706F10}"/>
                </c:ext>
              </c:extLst>
            </c:dLbl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図3!$M$9:$M$13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図3!$U$9:$U$13</c:f>
              <c:numCache>
                <c:formatCode>#,##0.0_ ;[Red]\-#,##0.0\ </c:formatCode>
                <c:ptCount val="5"/>
                <c:pt idx="0">
                  <c:v>2.7</c:v>
                </c:pt>
                <c:pt idx="1">
                  <c:v>3.7</c:v>
                </c:pt>
                <c:pt idx="2">
                  <c:v>1.8</c:v>
                </c:pt>
                <c:pt idx="3">
                  <c:v>1.9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3B-4464-9642-2E275270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1824"/>
        <c:axId val="364642216"/>
      </c:barChart>
      <c:catAx>
        <c:axId val="364641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4642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642216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1824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59586301712282"/>
          <c:y val="1.3088957100701395E-2"/>
          <c:w val="0.51785792400949882"/>
          <c:h val="0.1884819905986328"/>
        </c:manualLayout>
      </c:layout>
      <c:overlay val="0"/>
      <c:spPr>
        <a:solidFill>
          <a:schemeClr val="bg1"/>
        </a:solidFill>
        <a:ln w="25400">
          <a:solidFill>
            <a:srgbClr val="000000"/>
          </a:solidFill>
        </a:ln>
        <a:effectLst/>
      </c:spPr>
      <c:txPr>
        <a:bodyPr/>
        <a:lstStyle/>
        <a:p>
          <a:pPr>
            <a:defRPr sz="1000"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組合 ＞</a:t>
            </a:r>
          </a:p>
        </c:rich>
      </c:tx>
      <c:layout>
        <c:manualLayout>
          <c:xMode val="edge"/>
          <c:yMode val="edge"/>
          <c:x val="7.142872765904261E-2"/>
          <c:y val="3.29088493567933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6187976502943E-2"/>
          <c:y val="0.16813241448671296"/>
          <c:w val="0.84771950381202354"/>
          <c:h val="0.798537272502040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図3!$N$20</c:f>
              <c:strCache>
                <c:ptCount val="1"/>
                <c:pt idx="0">
                  <c:v>保険料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図3!$M$21:$M$25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図3!$N$21:$N$25</c:f>
              <c:numCache>
                <c:formatCode>#,##0.0_ ;[Red]\-#,##0.0\ </c:formatCode>
                <c:ptCount val="5"/>
                <c:pt idx="0">
                  <c:v>60.2</c:v>
                </c:pt>
                <c:pt idx="1">
                  <c:v>60.2</c:v>
                </c:pt>
                <c:pt idx="2">
                  <c:v>59.8</c:v>
                </c:pt>
                <c:pt idx="3">
                  <c:v>61.5</c:v>
                </c:pt>
                <c:pt idx="4">
                  <c:v>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9-43CE-93F9-0DAAEDFC8A59}"/>
            </c:ext>
          </c:extLst>
        </c:ser>
        <c:ser>
          <c:idx val="1"/>
          <c:order val="1"/>
          <c:tx>
            <c:strRef>
              <c:f>図3!$O$20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図3!$M$21:$M$25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図3!$O$21:$O$25</c:f>
              <c:numCache>
                <c:formatCode>#,##0.0_ ;[Red]\-#,##0.0\ </c:formatCode>
                <c:ptCount val="5"/>
                <c:pt idx="0">
                  <c:v>27.3</c:v>
                </c:pt>
                <c:pt idx="1">
                  <c:v>26.2</c:v>
                </c:pt>
                <c:pt idx="2">
                  <c:v>26</c:v>
                </c:pt>
                <c:pt idx="3">
                  <c:v>25</c:v>
                </c:pt>
                <c:pt idx="4">
                  <c:v>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9-43CE-93F9-0DAAEDFC8A59}"/>
            </c:ext>
          </c:extLst>
        </c:ser>
        <c:ser>
          <c:idx val="3"/>
          <c:order val="2"/>
          <c:tx>
            <c:strRef>
              <c:f>図3!$Q$20</c:f>
              <c:strCache>
                <c:ptCount val="1"/>
                <c:pt idx="0">
                  <c:v>都支出金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図3!$M$21:$M$25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図3!$Q$21:$Q$25</c:f>
              <c:numCache>
                <c:formatCode>#,##0.0_ ;[Red]\-#,##0.0\ </c:formatCode>
                <c:ptCount val="5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9-43CE-93F9-0DAAEDFC8A59}"/>
            </c:ext>
          </c:extLst>
        </c:ser>
        <c:ser>
          <c:idx val="5"/>
          <c:order val="3"/>
          <c:tx>
            <c:strRef>
              <c:f>図3!$S$20</c:f>
              <c:strCache>
                <c:ptCount val="1"/>
                <c:pt idx="0">
                  <c:v>共同事業交付金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図3!$M$21:$M$25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図3!$S$21:$S$25</c:f>
              <c:numCache>
                <c:formatCode>#,##0.0_ ;[Red]\-#,##0.0\ </c:formatCode>
                <c:ptCount val="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9-43CE-93F9-0DAAEDFC8A59}"/>
            </c:ext>
          </c:extLst>
        </c:ser>
        <c:ser>
          <c:idx val="6"/>
          <c:order val="4"/>
          <c:tx>
            <c:strRef>
              <c:f>図3!$T$20</c:f>
              <c:strCache>
                <c:ptCount val="1"/>
                <c:pt idx="0">
                  <c:v>前期高齢者交付金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図3!$M$21:$M$25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図3!$T$21:$T$25</c:f>
              <c:numCache>
                <c:formatCode>#,##0.0_ ;[Red]\-#,##0.0\ </c:formatCode>
                <c:ptCount val="5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89-43CE-93F9-0DAAEDFC8A59}"/>
            </c:ext>
          </c:extLst>
        </c:ser>
        <c:ser>
          <c:idx val="7"/>
          <c:order val="5"/>
          <c:tx>
            <c:strRef>
              <c:f>図3!$U$20</c:f>
              <c:strCache>
                <c:ptCount val="1"/>
                <c:pt idx="0">
                  <c:v>その他収入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0938102914428524E-18"/>
                  <c:y val="3.3435311031980876E-7"/>
                </c:manualLayout>
              </c:layout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89-43CE-93F9-0DAAEDFC8A59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図3!$M$21:$M$25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図3!$U$21:$U$25</c:f>
              <c:numCache>
                <c:formatCode>#,##0.0_ ;[Red]\-#,##0.0\ </c:formatCode>
                <c:ptCount val="5"/>
                <c:pt idx="0">
                  <c:v>9.9</c:v>
                </c:pt>
                <c:pt idx="1">
                  <c:v>11.2</c:v>
                </c:pt>
                <c:pt idx="2">
                  <c:v>11.8</c:v>
                </c:pt>
                <c:pt idx="3">
                  <c:v>11</c:v>
                </c:pt>
                <c:pt idx="4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89-43CE-93F9-0DAAEDFC8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4568"/>
        <c:axId val="364641040"/>
      </c:barChart>
      <c:catAx>
        <c:axId val="364644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464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64104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4568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特別区 ＞</a:t>
            </a:r>
          </a:p>
        </c:rich>
      </c:tx>
      <c:layout>
        <c:manualLayout>
          <c:xMode val="edge"/>
          <c:yMode val="edge"/>
          <c:x val="8.0703023233206963E-3"/>
          <c:y val="0.321394789680066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388229433554679E-2"/>
          <c:y val="0.42046911632072714"/>
          <c:w val="0.86321112083211826"/>
          <c:h val="0.56256652964559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図3!$N$57</c:f>
              <c:strCache>
                <c:ptCount val="1"/>
                <c:pt idx="0">
                  <c:v>一般療養諸費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図3!$N$58:$N$62</c:f>
              <c:numCache>
                <c:formatCode>#,##0.0_ ;[Red]\-#,##0.0\ </c:formatCode>
                <c:ptCount val="5"/>
                <c:pt idx="0">
                  <c:v>47.5</c:v>
                </c:pt>
                <c:pt idx="1">
                  <c:v>52.1</c:v>
                </c:pt>
                <c:pt idx="2">
                  <c:v>53.4</c:v>
                </c:pt>
                <c:pt idx="3">
                  <c:v>52.6</c:v>
                </c:pt>
                <c:pt idx="4">
                  <c:v>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9-4D7B-9318-CB3C1148F9DC}"/>
            </c:ext>
          </c:extLst>
        </c:ser>
        <c:ser>
          <c:idx val="1"/>
          <c:order val="1"/>
          <c:tx>
            <c:strRef>
              <c:f>図3!$O$57</c:f>
              <c:strCache>
                <c:ptCount val="1"/>
                <c:pt idx="0">
                  <c:v>退職療養諸費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FD9-4D7B-9318-CB3C1148F9DC}"/>
                </c:ext>
              </c:extLst>
            </c:dLbl>
            <c:dLbl>
              <c:idx val="4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FD9-4D7B-9318-CB3C1148F9DC}"/>
                </c:ext>
              </c:extLst>
            </c:dLbl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図3!$O$58:$O$62</c:f>
              <c:numCache>
                <c:formatCode>#,##0.0_ ;[Red]\-#,##0.0\ 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D9-4D7B-9318-CB3C1148F9DC}"/>
            </c:ext>
          </c:extLst>
        </c:ser>
        <c:ser>
          <c:idx val="2"/>
          <c:order val="2"/>
          <c:tx>
            <c:strRef>
              <c:f>図3!$P$57</c:f>
              <c:strCache>
                <c:ptCount val="1"/>
                <c:pt idx="0">
                  <c:v>高額療養費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図3!$P$58:$P$62</c:f>
              <c:numCache>
                <c:formatCode>#,##0.0_ ;[Red]\-#,##0.0\ </c:formatCode>
                <c:ptCount val="5"/>
                <c:pt idx="0">
                  <c:v>6.4</c:v>
                </c:pt>
                <c:pt idx="1">
                  <c:v>7</c:v>
                </c:pt>
                <c:pt idx="2">
                  <c:v>7.3</c:v>
                </c:pt>
                <c:pt idx="3">
                  <c:v>7.5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9-4D7B-9318-CB3C1148F9DC}"/>
            </c:ext>
          </c:extLst>
        </c:ser>
        <c:ser>
          <c:idx val="3"/>
          <c:order val="3"/>
          <c:tx>
            <c:strRef>
              <c:f>図3!$Q$57</c:f>
              <c:strCache>
                <c:ptCount val="1"/>
                <c:pt idx="0">
                  <c:v>高額介護合算療養費</c:v>
                </c:pt>
              </c:strCache>
            </c:strRef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図3!$Q$58:$Q$62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D9-4D7B-9318-CB3C1148F9DC}"/>
            </c:ext>
          </c:extLst>
        </c:ser>
        <c:ser>
          <c:idx val="4"/>
          <c:order val="4"/>
          <c:tx>
            <c:strRef>
              <c:f>図3!$R$57</c:f>
              <c:strCache>
                <c:ptCount val="1"/>
                <c:pt idx="0">
                  <c:v>その他給付</c:v>
                </c:pt>
              </c:strCache>
            </c:strRef>
          </c:tx>
          <c:spPr>
            <a:pattFill prst="dk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図3!$R$58:$R$62</c:f>
              <c:numCache>
                <c:formatCode>#,##0.0_ ;[Red]\-#,##0.0\ 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D9-4D7B-9318-CB3C1148F9DC}"/>
            </c:ext>
          </c:extLst>
        </c:ser>
        <c:ser>
          <c:idx val="5"/>
          <c:order val="5"/>
          <c:tx>
            <c:strRef>
              <c:f>図3!$S$57</c:f>
              <c:strCache>
                <c:ptCount val="1"/>
                <c:pt idx="0">
                  <c:v>後期高齢者支援金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図3!$S$58:$S$62</c:f>
              <c:numCache>
                <c:formatCode>#,##0.0_ ;[Red]\-#,##0.0\ </c:formatCode>
                <c:ptCount val="5"/>
                <c:pt idx="0">
                  <c:v>11.9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D9-4D7B-9318-CB3C1148F9DC}"/>
            </c:ext>
          </c:extLst>
        </c:ser>
        <c:ser>
          <c:idx val="6"/>
          <c:order val="6"/>
          <c:tx>
            <c:strRef>
              <c:f>図3!$T$57</c:f>
              <c:strCache>
                <c:ptCount val="1"/>
                <c:pt idx="0">
                  <c:v>前期高齢者納付金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図3!$T$58:$T$62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9-4D7B-9318-CB3C1148F9DC}"/>
            </c:ext>
          </c:extLst>
        </c:ser>
        <c:ser>
          <c:idx val="7"/>
          <c:order val="7"/>
          <c:tx>
            <c:strRef>
              <c:f>図3!$U$57</c:f>
              <c:strCache>
                <c:ptCount val="1"/>
                <c:pt idx="0">
                  <c:v>国民健康保険事業費納付金—医療給付分</c:v>
                </c:pt>
              </c:strCache>
            </c:strRef>
          </c:tx>
          <c:spPr>
            <a:pattFill prst="pct7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>
                  <a:alpha val="94000"/>
                </a:srgbClr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図3!$U$58:$U$62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24.2</c:v>
                </c:pt>
                <c:pt idx="2">
                  <c:v>24.2</c:v>
                </c:pt>
                <c:pt idx="3">
                  <c:v>24.2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D9-4D7B-9318-CB3C1148F9DC}"/>
            </c:ext>
          </c:extLst>
        </c:ser>
        <c:ser>
          <c:idx val="8"/>
          <c:order val="8"/>
          <c:tx>
            <c:strRef>
              <c:f>図3!$V$57</c:f>
              <c:strCache>
                <c:ptCount val="1"/>
                <c:pt idx="0">
                  <c:v>国民健康保険事業費納付金—後期高齢者分</c:v>
                </c:pt>
              </c:strCache>
            </c:strRef>
          </c:tx>
          <c:spPr>
            <a:pattFill prst="pct7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図3!$V$58:$V$62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7.4</c:v>
                </c:pt>
                <c:pt idx="2">
                  <c:v>7.4</c:v>
                </c:pt>
                <c:pt idx="3">
                  <c:v>7.7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D9-4D7B-9318-CB3C1148F9DC}"/>
            </c:ext>
          </c:extLst>
        </c:ser>
        <c:ser>
          <c:idx val="9"/>
          <c:order val="9"/>
          <c:tx>
            <c:strRef>
              <c:f>図3!$W$57</c:f>
              <c:strCache>
                <c:ptCount val="1"/>
                <c:pt idx="0">
                  <c:v>国民健康保険事業費納付金—介護納付金分</c:v>
                </c:pt>
              </c:strCache>
            </c:strRef>
          </c:tx>
          <c:spPr>
            <a:pattFill prst="pct8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図3!$W$58:$W$62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3.1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D9-4D7B-9318-CB3C1148F9DC}"/>
            </c:ext>
          </c:extLst>
        </c:ser>
        <c:ser>
          <c:idx val="10"/>
          <c:order val="10"/>
          <c:tx>
            <c:strRef>
              <c:f>図3!$X$57</c:f>
              <c:strCache>
                <c:ptCount val="1"/>
                <c:pt idx="0">
                  <c:v>財政安定化支援事業拠出金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図3!$X$58:$X$62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D9-4D7B-9318-CB3C1148F9DC}"/>
            </c:ext>
          </c:extLst>
        </c:ser>
        <c:ser>
          <c:idx val="11"/>
          <c:order val="11"/>
          <c:tx>
            <c:strRef>
              <c:f>図3!$Y$57</c:f>
              <c:strCache>
                <c:ptCount val="1"/>
                <c:pt idx="0">
                  <c:v>介護納付金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図3!$Y$58:$Y$62</c:f>
              <c:numCache>
                <c:formatCode>#,##0.0_ ;[Red]\-#,##0.0\ </c:formatCode>
                <c:ptCount val="5"/>
                <c:pt idx="0">
                  <c:v>4.8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D9-4D7B-9318-CB3C1148F9DC}"/>
            </c:ext>
          </c:extLst>
        </c:ser>
        <c:ser>
          <c:idx val="12"/>
          <c:order val="12"/>
          <c:tx>
            <c:strRef>
              <c:f>図3!$Z$57</c:f>
              <c:strCache>
                <c:ptCount val="1"/>
                <c:pt idx="0">
                  <c:v>総務費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図3!$Z$58:$Z$62</c:f>
              <c:numCache>
                <c:formatCode>#,##0.0_ ;[Red]\-#,##0.0\ </c:formatCode>
                <c:ptCount val="5"/>
                <c:pt idx="0">
                  <c:v>1.7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D9-4D7B-9318-CB3C1148F9DC}"/>
            </c:ext>
          </c:extLst>
        </c:ser>
        <c:ser>
          <c:idx val="13"/>
          <c:order val="13"/>
          <c:tx>
            <c:strRef>
              <c:f>図3!$AA$57</c:f>
              <c:strCache>
                <c:ptCount val="1"/>
                <c:pt idx="0">
                  <c:v>保健事業費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図3!$AA$58:$AA$62</c:f>
              <c:numCache>
                <c:formatCode>#,##0.0_ ;[Red]\-#,##0.0\ </c:formatCode>
                <c:ptCount val="5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D9-4D7B-9318-CB3C1148F9DC}"/>
            </c:ext>
          </c:extLst>
        </c:ser>
        <c:ser>
          <c:idx val="14"/>
          <c:order val="14"/>
          <c:tx>
            <c:strRef>
              <c:f>図3!$AB$57</c:f>
              <c:strCache>
                <c:ptCount val="1"/>
                <c:pt idx="0">
                  <c:v>保険給付費等交付金償還金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図3!$AB$58:$AB$62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D9-4D7B-9318-CB3C1148F9DC}"/>
            </c:ext>
          </c:extLst>
        </c:ser>
        <c:ser>
          <c:idx val="15"/>
          <c:order val="15"/>
          <c:tx>
            <c:strRef>
              <c:f>図3!$AC$57</c:f>
              <c:strCache>
                <c:ptCount val="1"/>
                <c:pt idx="0">
                  <c:v>共同事業拠出金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図3!$AC$58:$AC$62</c:f>
              <c:numCache>
                <c:formatCode>#,##0.0_ ;[Red]\-#,##0.0\ </c:formatCode>
                <c:ptCount val="5"/>
                <c:pt idx="0">
                  <c:v>24.5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FD9-4D7B-9318-CB3C1148F9DC}"/>
            </c:ext>
          </c:extLst>
        </c:ser>
        <c:ser>
          <c:idx val="16"/>
          <c:order val="16"/>
          <c:tx>
            <c:strRef>
              <c:f>図3!$AD$57</c:f>
              <c:strCache>
                <c:ptCount val="1"/>
                <c:pt idx="0">
                  <c:v>その他支出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図3!$M$58:$M$62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図3!$AD$58:$AD$62</c:f>
              <c:numCache>
                <c:formatCode>#,##0.0_ ;[Red]\-#,##0.0\ </c:formatCode>
                <c:ptCount val="5"/>
                <c:pt idx="0">
                  <c:v>1.4</c:v>
                </c:pt>
                <c:pt idx="1">
                  <c:v>3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D9-4D7B-9318-CB3C1148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2608"/>
        <c:axId val="365879096"/>
      </c:barChart>
      <c:catAx>
        <c:axId val="3646426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5879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879096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2608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egendEntry>
        <c:idx val="7"/>
        <c:txPr>
          <a:bodyPr/>
          <a:lstStyle/>
          <a:p>
            <a:pPr>
              <a:defRPr sz="1010" b="0" i="0" u="none" strike="noStrike" baseline="0">
                <a:solidFill>
                  <a:schemeClr val="tx1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8.3563332361232631E-2"/>
          <c:y val="5.4278466990187379E-3"/>
          <c:w val="0.86322340818508803"/>
          <c:h val="0.3115270303442285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組合 ＞</a:t>
            </a:r>
          </a:p>
        </c:rich>
      </c:tx>
      <c:layout>
        <c:manualLayout>
          <c:xMode val="edge"/>
          <c:yMode val="edge"/>
          <c:x val="1.1152717021483426E-2"/>
          <c:y val="2.61439348053521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0082543564672E-2"/>
          <c:y val="0.18954321444825253"/>
          <c:w val="0.86272612575983054"/>
          <c:h val="0.771244291399521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図3!$N$69</c:f>
              <c:strCache>
                <c:ptCount val="1"/>
                <c:pt idx="0">
                  <c:v>一般療養諸費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図3!$N$70:$N$74</c:f>
              <c:numCache>
                <c:formatCode>#,##0.0_ ;[Red]\-#,##0.0\ </c:formatCode>
                <c:ptCount val="5"/>
                <c:pt idx="0">
                  <c:v>47.1</c:v>
                </c:pt>
                <c:pt idx="1">
                  <c:v>46.5</c:v>
                </c:pt>
                <c:pt idx="2">
                  <c:v>45.4</c:v>
                </c:pt>
                <c:pt idx="3">
                  <c:v>44</c:v>
                </c:pt>
                <c:pt idx="4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C-4CA4-9283-8122BA98BA7D}"/>
            </c:ext>
          </c:extLst>
        </c:ser>
        <c:ser>
          <c:idx val="2"/>
          <c:order val="1"/>
          <c:tx>
            <c:strRef>
              <c:f>図3!$P$69</c:f>
              <c:strCache>
                <c:ptCount val="1"/>
                <c:pt idx="0">
                  <c:v>高額療養費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図3!$P$70:$P$74</c:f>
              <c:numCache>
                <c:formatCode>#,##0.0_ ;[Red]\-#,##0.0\ 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C-4CA4-9283-8122BA98BA7D}"/>
            </c:ext>
          </c:extLst>
        </c:ser>
        <c:ser>
          <c:idx val="3"/>
          <c:order val="2"/>
          <c:tx>
            <c:strRef>
              <c:f>図3!$Q$69</c:f>
              <c:strCache>
                <c:ptCount val="1"/>
                <c:pt idx="0">
                  <c:v>高額介護合算療養費</c:v>
                </c:pt>
              </c:strCache>
            </c:strRef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3C-4CA4-9283-8122BA98BA7D}"/>
                </c:ext>
              </c:extLst>
            </c:dLbl>
            <c:numFmt formatCode="0.0_ ;[Red]\-0.0\ ;;@" sourceLinked="0"/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図3!$Q$70:$Q$74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C-4CA4-9283-8122BA98BA7D}"/>
            </c:ext>
          </c:extLst>
        </c:ser>
        <c:ser>
          <c:idx val="4"/>
          <c:order val="3"/>
          <c:tx>
            <c:strRef>
              <c:f>図3!$R$69</c:f>
              <c:strCache>
                <c:ptCount val="1"/>
                <c:pt idx="0">
                  <c:v>その他給付</c:v>
                </c:pt>
              </c:strCache>
            </c:strRef>
          </c:tx>
          <c:spPr>
            <a:pattFill prst="dk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図3!$R$70:$R$74</c:f>
              <c:numCache>
                <c:formatCode>#,##0.0_ ;[Red]\-#,##0.0\ </c:formatCode>
                <c:ptCount val="5"/>
                <c:pt idx="0">
                  <c:v>2.8</c:v>
                </c:pt>
                <c:pt idx="1">
                  <c:v>2.8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C-4CA4-9283-8122BA98BA7D}"/>
            </c:ext>
          </c:extLst>
        </c:ser>
        <c:ser>
          <c:idx val="5"/>
          <c:order val="4"/>
          <c:tx>
            <c:strRef>
              <c:f>図3!$S$69</c:f>
              <c:strCache>
                <c:ptCount val="1"/>
                <c:pt idx="0">
                  <c:v>後期高齢者支援金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図3!$S$70:$S$74</c:f>
              <c:numCache>
                <c:formatCode>#,##0.0_ ;[Red]\-#,##0.0\ </c:formatCode>
                <c:ptCount val="5"/>
                <c:pt idx="0">
                  <c:v>19.100000000000001</c:v>
                </c:pt>
                <c:pt idx="1">
                  <c:v>19.5</c:v>
                </c:pt>
                <c:pt idx="2">
                  <c:v>20.100000000000001</c:v>
                </c:pt>
                <c:pt idx="3">
                  <c:v>20.9</c:v>
                </c:pt>
                <c:pt idx="4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C-4CA4-9283-8122BA98BA7D}"/>
            </c:ext>
          </c:extLst>
        </c:ser>
        <c:ser>
          <c:idx val="6"/>
          <c:order val="5"/>
          <c:tx>
            <c:strRef>
              <c:f>図3!$T$69</c:f>
              <c:strCache>
                <c:ptCount val="1"/>
                <c:pt idx="0">
                  <c:v>前期高齢者納付金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708653340306369E-3"/>
                  <c:y val="-4.74678753612217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3C-4CA4-9283-8122BA98BA7D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図3!$T$70:$T$74</c:f>
              <c:numCache>
                <c:formatCode>#,##0.0_ ;[Red]\-#,##0.0\ </c:formatCode>
                <c:ptCount val="5"/>
                <c:pt idx="0">
                  <c:v>7.5</c:v>
                </c:pt>
                <c:pt idx="1">
                  <c:v>7.6</c:v>
                </c:pt>
                <c:pt idx="2">
                  <c:v>7.7</c:v>
                </c:pt>
                <c:pt idx="3">
                  <c:v>8.3000000000000007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3C-4CA4-9283-8122BA98BA7D}"/>
            </c:ext>
          </c:extLst>
        </c:ser>
        <c:ser>
          <c:idx val="8"/>
          <c:order val="6"/>
          <c:tx>
            <c:strRef>
              <c:f>図3!$Y$69</c:f>
              <c:strCache>
                <c:ptCount val="1"/>
                <c:pt idx="0">
                  <c:v>介護納付金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図3!$Y$70:$Y$74</c:f>
              <c:numCache>
                <c:formatCode>#,##0.0_ ;[Red]\-#,##0.0\ </c:formatCode>
                <c:ptCount val="5"/>
                <c:pt idx="0">
                  <c:v>9.3000000000000007</c:v>
                </c:pt>
                <c:pt idx="1">
                  <c:v>9.3000000000000007</c:v>
                </c:pt>
                <c:pt idx="2">
                  <c:v>9.6</c:v>
                </c:pt>
                <c:pt idx="3">
                  <c:v>10.4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3C-4CA4-9283-8122BA98BA7D}"/>
            </c:ext>
          </c:extLst>
        </c:ser>
        <c:ser>
          <c:idx val="9"/>
          <c:order val="7"/>
          <c:tx>
            <c:strRef>
              <c:f>図3!$Z$69</c:f>
              <c:strCache>
                <c:ptCount val="1"/>
                <c:pt idx="0">
                  <c:v>総務費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図3!$Z$70:$Z$74</c:f>
              <c:numCache>
                <c:formatCode>#,##0.0_ ;[Red]\-#,##0.0\ </c:formatCode>
                <c:ptCount val="5"/>
                <c:pt idx="0">
                  <c:v>3.4</c:v>
                </c:pt>
                <c:pt idx="1">
                  <c:v>3.6</c:v>
                </c:pt>
                <c:pt idx="2">
                  <c:v>4.3</c:v>
                </c:pt>
                <c:pt idx="3">
                  <c:v>3.6</c:v>
                </c:pt>
                <c:pt idx="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3C-4CA4-9283-8122BA98BA7D}"/>
            </c:ext>
          </c:extLst>
        </c:ser>
        <c:ser>
          <c:idx val="10"/>
          <c:order val="8"/>
          <c:tx>
            <c:strRef>
              <c:f>図3!$AA$69</c:f>
              <c:strCache>
                <c:ptCount val="1"/>
                <c:pt idx="0">
                  <c:v>保健事業費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3C-4CA4-9283-8122BA98BA7D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図3!$AA$70:$AA$74</c:f>
              <c:numCache>
                <c:formatCode>#,##0.0_ ;[Red]\-#,##0.0\ </c:formatCode>
                <c:ptCount val="5"/>
                <c:pt idx="0">
                  <c:v>2.4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3C-4CA4-9283-8122BA98BA7D}"/>
            </c:ext>
          </c:extLst>
        </c:ser>
        <c:ser>
          <c:idx val="11"/>
          <c:order val="9"/>
          <c:tx>
            <c:strRef>
              <c:f>図3!$AC$69</c:f>
              <c:strCache>
                <c:ptCount val="1"/>
                <c:pt idx="0">
                  <c:v>共同事業拠出金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図3!$AC$70:$AC$74</c:f>
              <c:numCache>
                <c:formatCode>#,##0.0_ ;[Red]\-#,##0.0\ </c:formatCode>
                <c:ptCount val="5"/>
                <c:pt idx="0">
                  <c:v>1.5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3C-4CA4-9283-8122BA98BA7D}"/>
            </c:ext>
          </c:extLst>
        </c:ser>
        <c:ser>
          <c:idx val="12"/>
          <c:order val="10"/>
          <c:tx>
            <c:strRef>
              <c:f>図3!$AD$69</c:f>
              <c:strCache>
                <c:ptCount val="1"/>
                <c:pt idx="0">
                  <c:v>その他支出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図3!$M$70:$M$74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図3!$AD$70:$AD$74</c:f>
              <c:numCache>
                <c:formatCode>#,##0.0_ ;[Red]\-#,##0.0\ </c:formatCode>
                <c:ptCount val="5"/>
                <c:pt idx="0">
                  <c:v>2.4</c:v>
                </c:pt>
                <c:pt idx="1">
                  <c:v>2.7</c:v>
                </c:pt>
                <c:pt idx="2">
                  <c:v>2.2000000000000002</c:v>
                </c:pt>
                <c:pt idx="3">
                  <c:v>2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3C-4CA4-9283-8122BA98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5880664"/>
        <c:axId val="365879488"/>
      </c:barChart>
      <c:catAx>
        <c:axId val="365880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58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879488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5880664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市町村 ＞</a:t>
            </a:r>
          </a:p>
        </c:rich>
      </c:tx>
      <c:layout>
        <c:manualLayout>
          <c:xMode val="edge"/>
          <c:yMode val="edge"/>
          <c:x val="8.0703023233206963E-3"/>
          <c:y val="2.0916507058239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388229433554679E-2"/>
          <c:y val="0.16529557395751684"/>
          <c:w val="0.86321112083211826"/>
          <c:h val="0.791054643100804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図3!$N$63</c:f>
              <c:strCache>
                <c:ptCount val="1"/>
                <c:pt idx="0">
                  <c:v>一般療養諸費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図3!$N$64:$N$68</c:f>
              <c:numCache>
                <c:formatCode>#,##0.0_ ;[Red]\-#,##0.0\ </c:formatCode>
                <c:ptCount val="5"/>
                <c:pt idx="0">
                  <c:v>49.6</c:v>
                </c:pt>
                <c:pt idx="1">
                  <c:v>55.2</c:v>
                </c:pt>
                <c:pt idx="2">
                  <c:v>56.3</c:v>
                </c:pt>
                <c:pt idx="3">
                  <c:v>55.5</c:v>
                </c:pt>
                <c:pt idx="4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3-4CFE-92BC-2238B0FF9C7E}"/>
            </c:ext>
          </c:extLst>
        </c:ser>
        <c:ser>
          <c:idx val="1"/>
          <c:order val="1"/>
          <c:tx>
            <c:strRef>
              <c:f>図3!$O$63</c:f>
              <c:strCache>
                <c:ptCount val="1"/>
                <c:pt idx="0">
                  <c:v>退職療養諸費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7F3-4CFE-92BC-2238B0FF9C7E}"/>
                </c:ext>
              </c:extLst>
            </c:dLbl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図3!$O$64:$O$68</c:f>
              <c:numCache>
                <c:formatCode>#,##0.0_ ;[Red]\-#,##0.0\ </c:formatCode>
                <c:ptCount val="5"/>
                <c:pt idx="0">
                  <c:v>0.6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3-4CFE-92BC-2238B0FF9C7E}"/>
            </c:ext>
          </c:extLst>
        </c:ser>
        <c:ser>
          <c:idx val="2"/>
          <c:order val="2"/>
          <c:tx>
            <c:strRef>
              <c:f>図3!$P$63</c:f>
              <c:strCache>
                <c:ptCount val="1"/>
                <c:pt idx="0">
                  <c:v>高額療養費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図3!$P$64:$P$68</c:f>
              <c:numCache>
                <c:formatCode>#,##0.0_ ;[Red]\-#,##0.0\ </c:formatCode>
                <c:ptCount val="5"/>
                <c:pt idx="0">
                  <c:v>6.7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3-4CFE-92BC-2238B0FF9C7E}"/>
            </c:ext>
          </c:extLst>
        </c:ser>
        <c:ser>
          <c:idx val="3"/>
          <c:order val="3"/>
          <c:tx>
            <c:strRef>
              <c:f>図3!$Q$63</c:f>
              <c:strCache>
                <c:ptCount val="1"/>
                <c:pt idx="0">
                  <c:v>高額介護合算療養費</c:v>
                </c:pt>
              </c:strCache>
            </c:strRef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図3!$Q$64:$Q$68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3-4CFE-92BC-2238B0FF9C7E}"/>
            </c:ext>
          </c:extLst>
        </c:ser>
        <c:ser>
          <c:idx val="4"/>
          <c:order val="4"/>
          <c:tx>
            <c:strRef>
              <c:f>図3!$R$63</c:f>
              <c:strCache>
                <c:ptCount val="1"/>
                <c:pt idx="0">
                  <c:v>その他給付</c:v>
                </c:pt>
              </c:strCache>
            </c:strRef>
          </c:tx>
          <c:spPr>
            <a:pattFill prst="dk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図3!$R$64:$R$68</c:f>
              <c:numCache>
                <c:formatCode>#,##0.0_ ;[Red]\-#,##0.0\ </c:formatCode>
                <c:ptCount val="5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F3-4CFE-92BC-2238B0FF9C7E}"/>
            </c:ext>
          </c:extLst>
        </c:ser>
        <c:ser>
          <c:idx val="5"/>
          <c:order val="5"/>
          <c:tx>
            <c:strRef>
              <c:f>図3!$S$63</c:f>
              <c:strCache>
                <c:ptCount val="1"/>
                <c:pt idx="0">
                  <c:v>後期高齢者支援金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図3!$S$64:$S$68</c:f>
              <c:numCache>
                <c:formatCode>#,##0.0_ ;[Red]\-#,##0.0\ </c:formatCode>
                <c:ptCount val="5"/>
                <c:pt idx="0">
                  <c:v>11.7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F3-4CFE-92BC-2238B0FF9C7E}"/>
            </c:ext>
          </c:extLst>
        </c:ser>
        <c:ser>
          <c:idx val="6"/>
          <c:order val="6"/>
          <c:tx>
            <c:strRef>
              <c:f>図3!$T$63</c:f>
              <c:strCache>
                <c:ptCount val="1"/>
                <c:pt idx="0">
                  <c:v>前期高齢者納付金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図3!$T$64:$T$68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F3-4CFE-92BC-2238B0FF9C7E}"/>
            </c:ext>
          </c:extLst>
        </c:ser>
        <c:ser>
          <c:idx val="7"/>
          <c:order val="7"/>
          <c:tx>
            <c:strRef>
              <c:f>図3!$U$63</c:f>
              <c:strCache>
                <c:ptCount val="1"/>
                <c:pt idx="0">
                  <c:v>国民健康保険事業費納付金—医療給付分</c:v>
                </c:pt>
              </c:strCache>
            </c:strRef>
          </c:tx>
          <c:spPr>
            <a:pattFill prst="pct7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>
                  <a:alpha val="94000"/>
                </a:srgbClr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図3!$U$64:$U$68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21.6</c:v>
                </c:pt>
                <c:pt idx="2">
                  <c:v>21.6</c:v>
                </c:pt>
                <c:pt idx="3">
                  <c:v>21.8</c:v>
                </c:pt>
                <c:pt idx="4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F3-4CFE-92BC-2238B0FF9C7E}"/>
            </c:ext>
          </c:extLst>
        </c:ser>
        <c:ser>
          <c:idx val="8"/>
          <c:order val="8"/>
          <c:tx>
            <c:strRef>
              <c:f>図3!$V$63</c:f>
              <c:strCache>
                <c:ptCount val="1"/>
                <c:pt idx="0">
                  <c:v>国民健康保険事業費納付金—後期高齢者分</c:v>
                </c:pt>
              </c:strCache>
            </c:strRef>
          </c:tx>
          <c:spPr>
            <a:pattFill prst="pct7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図3!$V$64:$V$68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7</c:v>
                </c:pt>
                <c:pt idx="2">
                  <c:v>7.1</c:v>
                </c:pt>
                <c:pt idx="3">
                  <c:v>7.3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F3-4CFE-92BC-2238B0FF9C7E}"/>
            </c:ext>
          </c:extLst>
        </c:ser>
        <c:ser>
          <c:idx val="9"/>
          <c:order val="9"/>
          <c:tx>
            <c:strRef>
              <c:f>図3!$W$63</c:f>
              <c:strCache>
                <c:ptCount val="1"/>
                <c:pt idx="0">
                  <c:v>国民健康保険事業費納付金—介護納付金分</c:v>
                </c:pt>
              </c:strCache>
            </c:strRef>
          </c:tx>
          <c:spPr>
            <a:pattFill prst="pct8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図3!$W$64:$W$68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F3-4CFE-92BC-2238B0FF9C7E}"/>
            </c:ext>
          </c:extLst>
        </c:ser>
        <c:ser>
          <c:idx val="10"/>
          <c:order val="10"/>
          <c:tx>
            <c:strRef>
              <c:f>図3!$X$63</c:f>
              <c:strCache>
                <c:ptCount val="1"/>
                <c:pt idx="0">
                  <c:v>財政安定化支援事業拠出金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図3!$X$64:$X$68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F3-4CFE-92BC-2238B0FF9C7E}"/>
            </c:ext>
          </c:extLst>
        </c:ser>
        <c:ser>
          <c:idx val="11"/>
          <c:order val="11"/>
          <c:tx>
            <c:strRef>
              <c:f>図3!$Y$63</c:f>
              <c:strCache>
                <c:ptCount val="1"/>
                <c:pt idx="0">
                  <c:v>介護納付金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図3!$Y$64:$Y$68</c:f>
              <c:numCache>
                <c:formatCode>#,##0.0_ ;[Red]\-#,##0.0\ </c:formatCode>
                <c:ptCount val="5"/>
                <c:pt idx="0">
                  <c:v>4.5999999999999996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F3-4CFE-92BC-2238B0FF9C7E}"/>
            </c:ext>
          </c:extLst>
        </c:ser>
        <c:ser>
          <c:idx val="12"/>
          <c:order val="12"/>
          <c:tx>
            <c:strRef>
              <c:f>図3!$Z$63</c:f>
              <c:strCache>
                <c:ptCount val="1"/>
                <c:pt idx="0">
                  <c:v>総務費</c:v>
                </c:pt>
              </c:strCache>
            </c:strRef>
          </c:tx>
          <c:spPr>
            <a:pattFill prst="lg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図3!$Z$64:$Z$68</c:f>
              <c:numCache>
                <c:formatCode>#,##0.0_ ;[Red]\-#,##0.0\ </c:formatCode>
                <c:ptCount val="5"/>
                <c:pt idx="0">
                  <c:v>1.3</c:v>
                </c:pt>
                <c:pt idx="1">
                  <c:v>1.2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F3-4CFE-92BC-2238B0FF9C7E}"/>
            </c:ext>
          </c:extLst>
        </c:ser>
        <c:ser>
          <c:idx val="13"/>
          <c:order val="13"/>
          <c:tx>
            <c:strRef>
              <c:f>図3!$AA$63</c:f>
              <c:strCache>
                <c:ptCount val="1"/>
                <c:pt idx="0">
                  <c:v>保健事業費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図3!$AA$64:$AA$68</c:f>
              <c:numCache>
                <c:formatCode>#,##0.0_ ;[Red]\-#,##0.0\ </c:formatCode>
                <c:ptCount val="5"/>
                <c:pt idx="0">
                  <c:v>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F3-4CFE-92BC-2238B0FF9C7E}"/>
            </c:ext>
          </c:extLst>
        </c:ser>
        <c:ser>
          <c:idx val="14"/>
          <c:order val="14"/>
          <c:tx>
            <c:strRef>
              <c:f>図3!$AB$63</c:f>
              <c:strCache>
                <c:ptCount val="1"/>
                <c:pt idx="0">
                  <c:v>保険給付費等交付金償還金</c:v>
                </c:pt>
              </c:strCache>
            </c:strRef>
          </c:tx>
          <c:spPr>
            <a:pattFill prst="lgCheck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図3!$AB$64:$AB$68</c:f>
              <c:numCache>
                <c:formatCode>#,##0.0_ ;[Red]\-#,##0.0\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0.7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F3-4CFE-92BC-2238B0FF9C7E}"/>
            </c:ext>
          </c:extLst>
        </c:ser>
        <c:ser>
          <c:idx val="15"/>
          <c:order val="15"/>
          <c:tx>
            <c:strRef>
              <c:f>図3!$AC$63</c:f>
              <c:strCache>
                <c:ptCount val="1"/>
                <c:pt idx="0">
                  <c:v>共同事業拠出金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図3!$AC$64:$AC$68</c:f>
              <c:numCache>
                <c:formatCode>#,##0.0_ ;[Red]\-#,##0.0\ </c:formatCode>
                <c:ptCount val="5"/>
                <c:pt idx="0">
                  <c:v>22.7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F3-4CFE-92BC-2238B0FF9C7E}"/>
            </c:ext>
          </c:extLst>
        </c:ser>
        <c:ser>
          <c:idx val="16"/>
          <c:order val="16"/>
          <c:tx>
            <c:strRef>
              <c:f>図3!$AD$63</c:f>
              <c:strCache>
                <c:ptCount val="1"/>
                <c:pt idx="0">
                  <c:v>その他支出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図3!$M$64:$M$68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図3!$AD$64:$AD$68</c:f>
              <c:numCache>
                <c:formatCode>#,##0.0_ ;[Red]\-#,##0.0\ </c:formatCode>
                <c:ptCount val="5"/>
                <c:pt idx="0">
                  <c:v>1.4</c:v>
                </c:pt>
                <c:pt idx="1">
                  <c:v>3.1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F3-4CFE-92BC-2238B0FF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5881840"/>
        <c:axId val="365879880"/>
      </c:barChart>
      <c:catAx>
        <c:axId val="3658818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5879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587988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5881840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96728885742037E-2"/>
          <c:y val="0.14262842834226691"/>
          <c:w val="0.85253584109759184"/>
          <c:h val="0.78044993935599982"/>
        </c:manualLayout>
      </c:layout>
      <c:lineChart>
        <c:grouping val="standard"/>
        <c:varyColors val="0"/>
        <c:ser>
          <c:idx val="0"/>
          <c:order val="0"/>
          <c:tx>
            <c:strRef>
              <c:f>図4!$A$30</c:f>
              <c:strCache>
                <c:ptCount val="1"/>
                <c:pt idx="0">
                  <c:v>公　営　計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FC-45B8-9648-656F9B5569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C-45B8-9648-656F9B5569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FC-45B8-9648-656F9B5569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C-45B8-9648-656F9B5569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FC-45B8-9648-656F9B5569B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C-45B8-9648-656F9B5569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C-45B8-9648-656F9B5569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C-45B8-9648-656F9B5569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C-45B8-9648-656F9B5569B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C-45B8-9648-656F9B5569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図4!$C$29:$M$29</c:f>
              <c:strCache>
                <c:ptCount val="1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元</c:v>
                </c:pt>
                <c:pt idx="9">
                  <c:v>2</c:v>
                </c:pt>
                <c:pt idx="10">
                  <c:v>3</c:v>
                </c:pt>
              </c:strCache>
            </c:strRef>
          </c:cat>
          <c:val>
            <c:numRef>
              <c:f>図4!$C$30:$M$30</c:f>
              <c:numCache>
                <c:formatCode>0.00</c:formatCode>
                <c:ptCount val="11"/>
                <c:pt idx="0">
                  <c:v>0</c:v>
                </c:pt>
                <c:pt idx="1">
                  <c:v>85.628287760070435</c:v>
                </c:pt>
                <c:pt idx="2">
                  <c:v>86.199816591075944</c:v>
                </c:pt>
                <c:pt idx="3">
                  <c:v>86.741847093434757</c:v>
                </c:pt>
                <c:pt idx="4">
                  <c:v>87.438706474444089</c:v>
                </c:pt>
                <c:pt idx="5">
                  <c:v>87.626043284803259</c:v>
                </c:pt>
                <c:pt idx="6">
                  <c:v>88.021650032973042</c:v>
                </c:pt>
                <c:pt idx="7">
                  <c:v>88.548663678474412</c:v>
                </c:pt>
                <c:pt idx="8">
                  <c:v>88.917254233083398</c:v>
                </c:pt>
                <c:pt idx="9">
                  <c:v>90.256306902952829</c:v>
                </c:pt>
                <c:pt idx="10">
                  <c:v>91.428506805372749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FC-45B8-9648-656F9B5569BB}"/>
            </c:ext>
          </c:extLst>
        </c:ser>
        <c:ser>
          <c:idx val="1"/>
          <c:order val="1"/>
          <c:tx>
            <c:strRef>
              <c:f>図4!$B$31</c:f>
              <c:strCache>
                <c:ptCount val="1"/>
                <c:pt idx="0">
                  <c:v>特別区</c:v>
                </c:pt>
              </c:strCache>
            </c:strRef>
          </c:tx>
          <c:spPr>
            <a:ln w="254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FC-45B8-9648-656F9B5569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FC-45B8-9648-656F9B5569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FC-45B8-9648-656F9B5569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FC-45B8-9648-656F9B5569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FC-45B8-9648-656F9B5569B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FC-45B8-9648-656F9B5569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FC-45B8-9648-656F9B5569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FC-45B8-9648-656F9B5569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FC-45B8-9648-656F9B5569B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FC-45B8-9648-656F9B5569BB}"/>
                </c:ext>
              </c:extLst>
            </c:dLbl>
            <c:dLbl>
              <c:idx val="10"/>
              <c:layout>
                <c:manualLayout>
                  <c:x val="0"/>
                  <c:y val="-1.282051282051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FC-45B8-9648-656F9B5569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図4!$C$29:$M$29</c:f>
              <c:strCache>
                <c:ptCount val="1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元</c:v>
                </c:pt>
                <c:pt idx="9">
                  <c:v>2</c:v>
                </c:pt>
                <c:pt idx="10">
                  <c:v>3</c:v>
                </c:pt>
              </c:strCache>
            </c:strRef>
          </c:cat>
          <c:val>
            <c:numRef>
              <c:f>図4!$C$31:$M$31</c:f>
              <c:numCache>
                <c:formatCode>0.00</c:formatCode>
                <c:ptCount val="11"/>
                <c:pt idx="0">
                  <c:v>0</c:v>
                </c:pt>
                <c:pt idx="1">
                  <c:v>83.903551067443047</c:v>
                </c:pt>
                <c:pt idx="2">
                  <c:v>84.492847094097812</c:v>
                </c:pt>
                <c:pt idx="3">
                  <c:v>84.995344274981406</c:v>
                </c:pt>
                <c:pt idx="4">
                  <c:v>85.734282151543923</c:v>
                </c:pt>
                <c:pt idx="5">
                  <c:v>85.891084907952717</c:v>
                </c:pt>
                <c:pt idx="6">
                  <c:v>86.299565436868249</c:v>
                </c:pt>
                <c:pt idx="7">
                  <c:v>86.828980997716002</c:v>
                </c:pt>
                <c:pt idx="8">
                  <c:v>87.332425533754616</c:v>
                </c:pt>
                <c:pt idx="9">
                  <c:v>88.759888335918504</c:v>
                </c:pt>
                <c:pt idx="10">
                  <c:v>90.090891165052184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4FC-45B8-9648-656F9B5569BB}"/>
            </c:ext>
          </c:extLst>
        </c:ser>
        <c:ser>
          <c:idx val="2"/>
          <c:order val="2"/>
          <c:tx>
            <c:strRef>
              <c:f>図4!$B$32</c:f>
              <c:strCache>
                <c:ptCount val="1"/>
                <c:pt idx="0">
                  <c:v>市町村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FC-45B8-9648-656F9B5569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FC-45B8-9648-656F9B5569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FC-45B8-9648-656F9B5569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FC-45B8-9648-656F9B5569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FC-45B8-9648-656F9B5569B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FC-45B8-9648-656F9B5569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FC-45B8-9648-656F9B5569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FC-45B8-9648-656F9B5569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FC-45B8-9648-656F9B5569B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4FC-45B8-9648-656F9B5569BB}"/>
                </c:ext>
              </c:extLst>
            </c:dLbl>
            <c:dLbl>
              <c:idx val="10"/>
              <c:layout>
                <c:manualLayout>
                  <c:x val="0"/>
                  <c:y val="-1.282051282051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4FC-45B8-9648-656F9B5569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図4!$C$29:$M$29</c:f>
              <c:strCache>
                <c:ptCount val="1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元</c:v>
                </c:pt>
                <c:pt idx="9">
                  <c:v>2</c:v>
                </c:pt>
                <c:pt idx="10">
                  <c:v>3</c:v>
                </c:pt>
              </c:strCache>
            </c:strRef>
          </c:cat>
          <c:val>
            <c:numRef>
              <c:f>図4!$C$32:$M$32</c:f>
              <c:numCache>
                <c:formatCode>0.00</c:formatCode>
                <c:ptCount val="11"/>
                <c:pt idx="0">
                  <c:v>0</c:v>
                </c:pt>
                <c:pt idx="1">
                  <c:v>90.519857727727143</c:v>
                </c:pt>
                <c:pt idx="2">
                  <c:v>91.17972048396264</c:v>
                </c:pt>
                <c:pt idx="3">
                  <c:v>91.856907452042861</c:v>
                </c:pt>
                <c:pt idx="4">
                  <c:v>92.500560628205207</c:v>
                </c:pt>
                <c:pt idx="5">
                  <c:v>92.718767234001803</c:v>
                </c:pt>
                <c:pt idx="6">
                  <c:v>93.289828452560045</c:v>
                </c:pt>
                <c:pt idx="7">
                  <c:v>93.82241198677815</c:v>
                </c:pt>
                <c:pt idx="8">
                  <c:v>93.710515666839598</c:v>
                </c:pt>
                <c:pt idx="9">
                  <c:v>94.564762358072002</c:v>
                </c:pt>
                <c:pt idx="10">
                  <c:v>95.262873543336667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4FC-45B8-9648-656F9B5569BB}"/>
            </c:ext>
          </c:extLst>
        </c:ser>
        <c:ser>
          <c:idx val="3"/>
          <c:order val="3"/>
          <c:tx>
            <c:strRef>
              <c:f>図4!$A$33</c:f>
              <c:strCache>
                <c:ptCount val="1"/>
                <c:pt idx="0">
                  <c:v>組　　　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4FC-45B8-9648-656F9B5569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4FC-45B8-9648-656F9B5569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4FC-45B8-9648-656F9B5569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4FC-45B8-9648-656F9B5569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4FC-45B8-9648-656F9B5569B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4FC-45B8-9648-656F9B5569B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4FC-45B8-9648-656F9B5569B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4FC-45B8-9648-656F9B5569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4FC-45B8-9648-656F9B5569B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4FC-45B8-9648-656F9B5569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図4!$C$29:$M$29</c:f>
              <c:strCache>
                <c:ptCount val="1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元</c:v>
                </c:pt>
                <c:pt idx="9">
                  <c:v>2</c:v>
                </c:pt>
                <c:pt idx="10">
                  <c:v>3</c:v>
                </c:pt>
              </c:strCache>
            </c:strRef>
          </c:cat>
          <c:val>
            <c:numRef>
              <c:f>図4!$C$33:$M$33</c:f>
              <c:numCache>
                <c:formatCode>0.00</c:formatCode>
                <c:ptCount val="11"/>
                <c:pt idx="0">
                  <c:v>0</c:v>
                </c:pt>
                <c:pt idx="1">
                  <c:v>99.944184029761047</c:v>
                </c:pt>
                <c:pt idx="2">
                  <c:v>99.96801890895955</c:v>
                </c:pt>
                <c:pt idx="3">
                  <c:v>99.969312246465535</c:v>
                </c:pt>
                <c:pt idx="4">
                  <c:v>99.976643082727477</c:v>
                </c:pt>
                <c:pt idx="5">
                  <c:v>99.978055895095068</c:v>
                </c:pt>
                <c:pt idx="6">
                  <c:v>99.976561182064444</c:v>
                </c:pt>
                <c:pt idx="7">
                  <c:v>99.977295129721938</c:v>
                </c:pt>
                <c:pt idx="8">
                  <c:v>99.978034974278316</c:v>
                </c:pt>
                <c:pt idx="9">
                  <c:v>99.978659552978002</c:v>
                </c:pt>
                <c:pt idx="10">
                  <c:v>99.978967668846707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C4FC-45B8-9648-656F9B55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1652312"/>
        <c:axId val="333321808"/>
      </c:lineChart>
      <c:catAx>
        <c:axId val="331652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[</a:t>
                </a:r>
                <a:r>
                  <a:rPr lang="ja-JP" altLang="en-US"/>
                  <a:t>年度</a:t>
                </a:r>
                <a:r>
                  <a:rPr lang="en-US" altLang="ja-JP"/>
                  <a:t>]</a:t>
                </a:r>
              </a:p>
            </c:rich>
          </c:tx>
          <c:layout>
            <c:manualLayout>
              <c:xMode val="edge"/>
              <c:yMode val="edge"/>
              <c:x val="0.91551596629579235"/>
              <c:y val="0.961539966352361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33321808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333321808"/>
        <c:scaling>
          <c:orientation val="minMax"/>
          <c:max val="100.5"/>
          <c:min val="80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31652312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1367144547967895"/>
          <c:y val="1.1217966274110879E-2"/>
          <c:w val="0.77880301159725962"/>
          <c:h val="0.1089745295199342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12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＜入院＞</a:t>
            </a:r>
          </a:p>
        </c:rich>
      </c:tx>
      <c:layout>
        <c:manualLayout>
          <c:xMode val="edge"/>
          <c:yMode val="edge"/>
          <c:x val="0.41945288753799403"/>
          <c:y val="1.32275132275132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85410334346503E-2"/>
          <c:y val="9.2592870335652486E-2"/>
          <c:w val="0.80749746707193515"/>
          <c:h val="0.82539895781394113"/>
        </c:manualLayout>
      </c:layout>
      <c:lineChart>
        <c:grouping val="standard"/>
        <c:varyColors val="0"/>
        <c:ser>
          <c:idx val="0"/>
          <c:order val="0"/>
          <c:tx>
            <c:strRef>
              <c:f>図5!$Q$10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210739614994935E-2"/>
                  <c:y val="-3.1216931216931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B-404B-9B92-380EE7D45423}"/>
                </c:ext>
              </c:extLst>
            </c:dLbl>
            <c:numFmt formatCode="#,##0.000_ ;[Red]\-#,##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図5!$P$11:$P$15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図5!$Q$11:$Q$15</c:f>
              <c:numCache>
                <c:formatCode>0.000_);[Red]\(0.000\)</c:formatCode>
                <c:ptCount val="5"/>
                <c:pt idx="0">
                  <c:v>18.271000000000001</c:v>
                </c:pt>
                <c:pt idx="1">
                  <c:v>18.347999999999999</c:v>
                </c:pt>
                <c:pt idx="2">
                  <c:v>18.442</c:v>
                </c:pt>
                <c:pt idx="3">
                  <c:v>17.940999999999999</c:v>
                </c:pt>
                <c:pt idx="4">
                  <c:v>18.210999999999999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B-404B-9B92-380EE7D45423}"/>
            </c:ext>
          </c:extLst>
        </c:ser>
        <c:ser>
          <c:idx val="1"/>
          <c:order val="1"/>
          <c:tx>
            <c:strRef>
              <c:f>図5!$R$10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2370820668693E-2"/>
                  <c:y val="-4.356261022927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B-404B-9B92-380EE7D45423}"/>
                </c:ext>
              </c:extLst>
            </c:dLbl>
            <c:numFmt formatCode="#,##0.000_ ;[Red]\-#,##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図5!$P$11:$P$15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図5!$R$11:$R$15</c:f>
              <c:numCache>
                <c:formatCode>0.000_);[Red]\(0.000\)</c:formatCode>
                <c:ptCount val="5"/>
                <c:pt idx="0">
                  <c:v>10.988</c:v>
                </c:pt>
                <c:pt idx="1">
                  <c:v>10.85</c:v>
                </c:pt>
                <c:pt idx="2">
                  <c:v>10.715999999999999</c:v>
                </c:pt>
                <c:pt idx="3">
                  <c:v>9.8170000000000002</c:v>
                </c:pt>
                <c:pt idx="4">
                  <c:v>10.099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B-404B-9B92-380EE7D454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4629288"/>
        <c:axId val="325408024"/>
      </c:lineChart>
      <c:catAx>
        <c:axId val="324629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408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408024"/>
        <c:scaling>
          <c:orientation val="minMax"/>
          <c:max val="26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4629288"/>
        <c:crosses val="autoZero"/>
        <c:crossBetween val="midCat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52786220871327"/>
          <c:y val="0.10317543640378285"/>
          <c:w val="0.24620060790273557"/>
          <c:h val="0.11904789679067894"/>
        </c:manualLayout>
      </c:layout>
      <c:overlay val="0"/>
      <c:spPr>
        <a:solidFill>
          <a:srgbClr val="FFFFFF"/>
        </a:solidFill>
        <a:ln w="25400">
          <a:solidFill>
            <a:srgbClr val="0000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＜入院外＞</a:t>
            </a:r>
          </a:p>
        </c:rich>
      </c:tx>
      <c:layout>
        <c:manualLayout>
          <c:xMode val="edge"/>
          <c:yMode val="edge"/>
          <c:x val="0.41945288753799403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41033434650467"/>
          <c:y val="9.1710758377425039E-2"/>
          <c:w val="0.74164133738601867"/>
          <c:h val="0.82627865961199298"/>
        </c:manualLayout>
      </c:layout>
      <c:lineChart>
        <c:grouping val="standard"/>
        <c:varyColors val="0"/>
        <c:ser>
          <c:idx val="0"/>
          <c:order val="0"/>
          <c:tx>
            <c:strRef>
              <c:f>図5!$Q$17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329280648429583E-2"/>
                  <c:y val="-4.179894179894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91-47DF-A5A2-4A46CFA34C35}"/>
                </c:ext>
              </c:extLst>
            </c:dLbl>
            <c:dLbl>
              <c:idx val="1"/>
              <c:layout>
                <c:manualLayout>
                  <c:x val="-6.585612968591692E-2"/>
                  <c:y val="-4.532627865961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91-47DF-A5A2-4A46CFA34C35}"/>
                </c:ext>
              </c:extLst>
            </c:dLbl>
            <c:numFmt formatCode="0.000_ ;[Red]\-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図5!$P$18:$P$22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図5!$Q$18:$Q$22</c:f>
              <c:numCache>
                <c:formatCode>0.000_);[Red]\(0.000\)</c:formatCode>
                <c:ptCount val="5"/>
                <c:pt idx="0">
                  <c:v>785.01599999999996</c:v>
                </c:pt>
                <c:pt idx="1">
                  <c:v>792.41800000000001</c:v>
                </c:pt>
                <c:pt idx="2">
                  <c:v>795.39200000000005</c:v>
                </c:pt>
                <c:pt idx="3">
                  <c:v>717.49400000000003</c:v>
                </c:pt>
                <c:pt idx="4">
                  <c:v>783.96299999999997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1-47DF-A5A2-4A46CFA34C35}"/>
            </c:ext>
          </c:extLst>
        </c:ser>
        <c:ser>
          <c:idx val="1"/>
          <c:order val="1"/>
          <c:tx>
            <c:strRef>
              <c:f>図5!$R$17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408308004052685E-2"/>
                  <c:y val="4.7089947089947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91-47DF-A5A2-4A46CFA34C35}"/>
                </c:ext>
              </c:extLst>
            </c:dLbl>
            <c:dLbl>
              <c:idx val="1"/>
              <c:layout>
                <c:manualLayout>
                  <c:x val="-7.1935157041540021E-2"/>
                  <c:y val="4.003527336860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91-47DF-A5A2-4A46CFA34C35}"/>
                </c:ext>
              </c:extLst>
            </c:dLbl>
            <c:numFmt formatCode="0.000;[Red]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図5!$P$18:$P$22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図5!$R$18:$R$22</c:f>
              <c:numCache>
                <c:formatCode>0.000_);[Red]\(0.000\)</c:formatCode>
                <c:ptCount val="5"/>
                <c:pt idx="0">
                  <c:v>648.07299999999998</c:v>
                </c:pt>
                <c:pt idx="1">
                  <c:v>650.74699999999996</c:v>
                </c:pt>
                <c:pt idx="2">
                  <c:v>644.09500000000003</c:v>
                </c:pt>
                <c:pt idx="3">
                  <c:v>568.76</c:v>
                </c:pt>
                <c:pt idx="4">
                  <c:v>613.55899999999997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91-47DF-A5A2-4A46CFA3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626824"/>
        <c:axId val="325756832"/>
      </c:lineChart>
      <c:catAx>
        <c:axId val="324626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75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756832"/>
        <c:scaling>
          <c:orientation val="minMax"/>
          <c:max val="12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46268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12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＜歯科＞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285714285714293"/>
          <c:y val="8.3571946669059524E-2"/>
          <c:w val="0.78419452887537999"/>
          <c:h val="0.82811135787513745"/>
        </c:manualLayout>
      </c:layout>
      <c:lineChart>
        <c:grouping val="standard"/>
        <c:varyColors val="0"/>
        <c:ser>
          <c:idx val="0"/>
          <c:order val="0"/>
          <c:tx>
            <c:strRef>
              <c:f>図5!$T$10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223910840932118E-2"/>
                  <c:y val="5.641025641025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0-4602-91D4-E0A4CD9E12D4}"/>
                </c:ext>
              </c:extLst>
            </c:dLbl>
            <c:numFmt formatCode="#,##0.000_ ;[Red]\-#,##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図5!$S$11:$S$15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図5!$T$11:$T$15</c:f>
              <c:numCache>
                <c:formatCode>0.000_);[Red]\(0.000\)</c:formatCode>
                <c:ptCount val="5"/>
                <c:pt idx="0">
                  <c:v>199.47300000000001</c:v>
                </c:pt>
                <c:pt idx="1">
                  <c:v>200.68899999999999</c:v>
                </c:pt>
                <c:pt idx="2">
                  <c:v>205.38800000000001</c:v>
                </c:pt>
                <c:pt idx="3">
                  <c:v>181.4</c:v>
                </c:pt>
                <c:pt idx="4">
                  <c:v>202.55199999999999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0-4602-91D4-E0A4CD9E12D4}"/>
            </c:ext>
          </c:extLst>
        </c:ser>
        <c:ser>
          <c:idx val="1"/>
          <c:order val="1"/>
          <c:tx>
            <c:strRef>
              <c:f>図5!$U$10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50253292806486E-2"/>
                  <c:y val="4.6913580246913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0-4602-91D4-E0A4CD9E12D4}"/>
                </c:ext>
              </c:extLst>
            </c:dLbl>
            <c:dLbl>
              <c:idx val="1"/>
              <c:layout>
                <c:manualLayout>
                  <c:x val="-5.5724417426545089E-2"/>
                  <c:y val="5.07122507122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0-4602-91D4-E0A4CD9E12D4}"/>
                </c:ext>
              </c:extLst>
            </c:dLbl>
            <c:numFmt formatCode="#,##0.000_ ;[Red]\-#,##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図5!$S$11:$S$15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図5!$U$11:$U$15</c:f>
              <c:numCache>
                <c:formatCode>0.000_);[Red]\(0.000\)</c:formatCode>
                <c:ptCount val="5"/>
                <c:pt idx="0">
                  <c:v>168.71299999999999</c:v>
                </c:pt>
                <c:pt idx="1">
                  <c:v>171.33</c:v>
                </c:pt>
                <c:pt idx="2">
                  <c:v>175.15100000000001</c:v>
                </c:pt>
                <c:pt idx="3">
                  <c:v>164.035</c:v>
                </c:pt>
                <c:pt idx="4">
                  <c:v>176.30699999999999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D0-4602-91D4-E0A4CD9E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27624"/>
        <c:axId val="325831576"/>
      </c:lineChart>
      <c:catAx>
        <c:axId val="32582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3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31576"/>
        <c:scaling>
          <c:orientation val="minMax"/>
          <c:min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27624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＜計＞</a:t>
            </a:r>
          </a:p>
        </c:rich>
      </c:tx>
      <c:layout>
        <c:manualLayout>
          <c:xMode val="edge"/>
          <c:yMode val="edge"/>
          <c:x val="0.43161094224924046"/>
          <c:y val="3.41880341880341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52887537993918"/>
          <c:y val="8.8319088319088343E-2"/>
          <c:w val="0.72948328267477225"/>
          <c:h val="0.82336182336182362"/>
        </c:manualLayout>
      </c:layout>
      <c:lineChart>
        <c:grouping val="standard"/>
        <c:varyColors val="0"/>
        <c:ser>
          <c:idx val="0"/>
          <c:order val="0"/>
          <c:tx>
            <c:strRef>
              <c:f>図5!$T$17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329280648429583E-2"/>
                  <c:y val="-3.3618233618233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ED-481F-AFD9-A17E42739370}"/>
                </c:ext>
              </c:extLst>
            </c:dLbl>
            <c:dLbl>
              <c:idx val="1"/>
              <c:layout>
                <c:manualLayout>
                  <c:x val="-6.9908814589665649E-2"/>
                  <c:y val="-4.881291547958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ED-481F-AFD9-A17E42739370}"/>
                </c:ext>
              </c:extLst>
            </c:dLbl>
            <c:numFmt formatCode="0.000_ ;[Red]\-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図5!$S$18:$S$22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図5!$T$18:$T$22</c:f>
              <c:numCache>
                <c:formatCode>0.000_);[Red]\(0.000\)</c:formatCode>
                <c:ptCount val="5"/>
                <c:pt idx="0">
                  <c:v>1002.759</c:v>
                </c:pt>
                <c:pt idx="1">
                  <c:v>1011.455</c:v>
                </c:pt>
                <c:pt idx="2">
                  <c:v>1019.222</c:v>
                </c:pt>
                <c:pt idx="3">
                  <c:v>916.83399999999995</c:v>
                </c:pt>
                <c:pt idx="4">
                  <c:v>1004.726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D-481F-AFD9-A17E42739370}"/>
            </c:ext>
          </c:extLst>
        </c:ser>
        <c:ser>
          <c:idx val="1"/>
          <c:order val="1"/>
          <c:tx>
            <c:strRef>
              <c:f>図5!$U$17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355623100303952E-2"/>
                  <c:y val="5.07122507122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D-481F-AFD9-A17E42739370}"/>
                </c:ext>
              </c:extLst>
            </c:dLbl>
            <c:dLbl>
              <c:idx val="1"/>
              <c:layout>
                <c:manualLayout>
                  <c:x val="-7.1935157041540021E-2"/>
                  <c:y val="4.311490978157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ED-481F-AFD9-A17E42739370}"/>
                </c:ext>
              </c:extLst>
            </c:dLbl>
            <c:numFmt formatCode="0.000_ ;[Red]\-0.0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図5!$S$18:$S$22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図5!$U$18:$U$22</c:f>
              <c:numCache>
                <c:formatCode>0.000_);[Red]\(0.000\)</c:formatCode>
                <c:ptCount val="5"/>
                <c:pt idx="0">
                  <c:v>827.77499999999998</c:v>
                </c:pt>
                <c:pt idx="1">
                  <c:v>832.928</c:v>
                </c:pt>
                <c:pt idx="2">
                  <c:v>829.96199999999999</c:v>
                </c:pt>
                <c:pt idx="3">
                  <c:v>742.61099999999999</c:v>
                </c:pt>
                <c:pt idx="4">
                  <c:v>799.96500000000003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ED-481F-AFD9-A17E42739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28440"/>
        <c:axId val="325828048"/>
      </c:lineChart>
      <c:catAx>
        <c:axId val="32582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2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28048"/>
        <c:scaling>
          <c:orientation val="minMax"/>
          <c:max val="15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2844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＜島しょ地区＞</a:t>
            </a:r>
          </a:p>
        </c:rich>
      </c:tx>
      <c:layout>
        <c:manualLayout>
          <c:xMode val="edge"/>
          <c:yMode val="edge"/>
          <c:x val="0.40161290322580667"/>
          <c:y val="1.937991831667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7741935483868"/>
          <c:y val="0.25581492178007592"/>
          <c:w val="0.78709677419354862"/>
          <c:h val="0.5387617292034931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図1!$N$30</c:f>
              <c:strCache>
                <c:ptCount val="1"/>
                <c:pt idx="0">
                  <c:v>島しょ地区世帯数</c:v>
                </c:pt>
              </c:strCache>
            </c:strRef>
          </c:tx>
          <c:spPr>
            <a:pattFill prst="dkUpDiag">
              <a:fgClr>
                <a:schemeClr val="accent3">
                  <a:lumMod val="75000"/>
                </a:schemeClr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図1!$M$31:$M$40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図1!$N$31:$N$40</c:f>
              <c:numCache>
                <c:formatCode>#,##0.0000;[Red]\-#,##0.0000</c:formatCode>
                <c:ptCount val="10"/>
                <c:pt idx="0">
                  <c:v>0.72230000000000005</c:v>
                </c:pt>
                <c:pt idx="1">
                  <c:v>0.70669999999999999</c:v>
                </c:pt>
                <c:pt idx="2">
                  <c:v>0.68210000000000004</c:v>
                </c:pt>
                <c:pt idx="3">
                  <c:v>0.65759999999999996</c:v>
                </c:pt>
                <c:pt idx="4">
                  <c:v>0.63539999999999996</c:v>
                </c:pt>
                <c:pt idx="5">
                  <c:v>0.6109</c:v>
                </c:pt>
                <c:pt idx="6">
                  <c:v>0.58609999999999995</c:v>
                </c:pt>
                <c:pt idx="7">
                  <c:v>0.5625</c:v>
                </c:pt>
                <c:pt idx="8">
                  <c:v>0.53920000000000001</c:v>
                </c:pt>
                <c:pt idx="9">
                  <c:v>0.52290000000000003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4-48B3-A505-09EFFC21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4109008"/>
        <c:axId val="374110968"/>
      </c:barChart>
      <c:lineChart>
        <c:grouping val="standard"/>
        <c:varyColors val="0"/>
        <c:ser>
          <c:idx val="5"/>
          <c:order val="1"/>
          <c:tx>
            <c:strRef>
              <c:f>図1!$O$30</c:f>
              <c:strCache>
                <c:ptCount val="1"/>
                <c:pt idx="0">
                  <c:v>島しょ地区被保険者数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図1!$M$31:$M$40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元</c:v>
                </c:pt>
                <c:pt idx="8">
                  <c:v>2</c:v>
                </c:pt>
                <c:pt idx="9">
                  <c:v>3</c:v>
                </c:pt>
              </c:strCache>
            </c:strRef>
          </c:cat>
          <c:val>
            <c:numRef>
              <c:f>図1!$O$31:$O$40</c:f>
              <c:numCache>
                <c:formatCode>#,##0.0000;[Red]\-#,##0.0000</c:formatCode>
                <c:ptCount val="10"/>
                <c:pt idx="0">
                  <c:v>1.2025999999999999</c:v>
                </c:pt>
                <c:pt idx="1">
                  <c:v>1.1641999999999999</c:v>
                </c:pt>
                <c:pt idx="2">
                  <c:v>1.1127</c:v>
                </c:pt>
                <c:pt idx="3">
                  <c:v>1.0595000000000001</c:v>
                </c:pt>
                <c:pt idx="4">
                  <c:v>1.0089999999999999</c:v>
                </c:pt>
                <c:pt idx="5">
                  <c:v>0.9536</c:v>
                </c:pt>
                <c:pt idx="6">
                  <c:v>0.90329999999999999</c:v>
                </c:pt>
                <c:pt idx="7">
                  <c:v>0.85660000000000003</c:v>
                </c:pt>
                <c:pt idx="8">
                  <c:v>0.81689999999999996</c:v>
                </c:pt>
                <c:pt idx="9">
                  <c:v>0.77959999999999996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4-48B3-A505-09EFFC21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07832"/>
        <c:axId val="374109400"/>
      </c:lineChart>
      <c:catAx>
        <c:axId val="37410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8225806451612898"/>
              <c:y val="0.82558452029024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4110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110968"/>
        <c:scaling>
          <c:orientation val="minMax"/>
          <c:max val="1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単位：万世帯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1935483870967752E-2"/>
              <c:y val="0.1550393465333793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4109008"/>
        <c:crosses val="autoZero"/>
        <c:crossBetween val="between"/>
        <c:majorUnit val="0.1"/>
        <c:minorUnit val="0.05"/>
      </c:valAx>
      <c:catAx>
        <c:axId val="374107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74109400"/>
        <c:crosses val="autoZero"/>
        <c:auto val="0"/>
        <c:lblAlgn val="ctr"/>
        <c:lblOffset val="100"/>
        <c:noMultiLvlLbl val="0"/>
      </c:catAx>
      <c:valAx>
        <c:axId val="374109400"/>
        <c:scaling>
          <c:orientation val="minMax"/>
          <c:min val="0.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単位：万人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89838709677419371"/>
              <c:y val="0.147287379206710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74107832"/>
        <c:crosses val="max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892473118279569"/>
          <c:y val="0.10465156971657613"/>
          <c:w val="0.29032258064516142"/>
          <c:h val="0.143411395543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12" orientation="landscape" horizontalDpi="300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＜計＞</a:t>
            </a:r>
          </a:p>
        </c:rich>
      </c:tx>
      <c:layout>
        <c:manualLayout>
          <c:xMode val="edge"/>
          <c:yMode val="edge"/>
          <c:x val="0.41945288753799403"/>
          <c:y val="1.7094017094017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14285714293"/>
          <c:y val="9.6866366370543966E-2"/>
          <c:w val="0.78115501519756858"/>
          <c:h val="0.81481708182281021"/>
        </c:manualLayout>
      </c:layout>
      <c:lineChart>
        <c:grouping val="standard"/>
        <c:varyColors val="0"/>
        <c:ser>
          <c:idx val="0"/>
          <c:order val="0"/>
          <c:tx>
            <c:strRef>
              <c:f>図6!$T$14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289766970618033E-2"/>
                  <c:y val="-4.881291547958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4E-43CE-BDA3-62BA7FF747DC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図6!$S$15:$S$19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図6!$T$15:$T$19</c:f>
              <c:numCache>
                <c:formatCode>#,##0.00</c:formatCode>
                <c:ptCount val="5"/>
                <c:pt idx="0">
                  <c:v>1.86</c:v>
                </c:pt>
                <c:pt idx="1">
                  <c:v>1.84</c:v>
                </c:pt>
                <c:pt idx="2">
                  <c:v>1.82</c:v>
                </c:pt>
                <c:pt idx="3">
                  <c:v>1.82</c:v>
                </c:pt>
                <c:pt idx="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E-43CE-BDA3-62BA7FF747DC}"/>
            </c:ext>
          </c:extLst>
        </c:ser>
        <c:ser>
          <c:idx val="1"/>
          <c:order val="1"/>
          <c:tx>
            <c:strRef>
              <c:f>図6!$U$14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316109422492401E-2"/>
                  <c:y val="-4.6913580246913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4E-43CE-BDA3-62BA7FF747DC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図6!$S$15:$S$19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図6!$U$15:$U$19</c:f>
              <c:numCache>
                <c:formatCode>#,##0.00</c:formatCode>
                <c:ptCount val="5"/>
                <c:pt idx="0">
                  <c:v>1.62</c:v>
                </c:pt>
                <c:pt idx="1">
                  <c:v>1.6</c:v>
                </c:pt>
                <c:pt idx="2">
                  <c:v>1.58</c:v>
                </c:pt>
                <c:pt idx="3">
                  <c:v>1.57</c:v>
                </c:pt>
                <c:pt idx="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4E-43CE-BDA3-62BA7FF7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92760"/>
        <c:axId val="325896288"/>
      </c:lineChart>
      <c:catAx>
        <c:axId val="325892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9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2760"/>
        <c:crosses val="autoZero"/>
        <c:crossBetween val="midCat"/>
        <c:majorUnit val="0.1"/>
        <c:minorUnit val="0.0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＜入院＞</a:t>
            </a:r>
          </a:p>
        </c:rich>
      </c:tx>
      <c:layout>
        <c:manualLayout>
          <c:xMode val="edge"/>
          <c:yMode val="edge"/>
          <c:x val="0.41945288753799403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2006079027359"/>
          <c:y val="8.9947322325878251E-2"/>
          <c:w val="0.79939209726443772"/>
          <c:h val="0.82804446729411441"/>
        </c:manualLayout>
      </c:layout>
      <c:lineChart>
        <c:grouping val="standard"/>
        <c:varyColors val="0"/>
        <c:ser>
          <c:idx val="0"/>
          <c:order val="0"/>
          <c:tx>
            <c:strRef>
              <c:f>図6!$Q$7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302938196555219E-2"/>
                  <c:y val="-4.532627865961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8-4CFF-88F3-B20B23B794D4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図6!$P$8:$P$12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図6!$Q$8:$Q$12</c:f>
              <c:numCache>
                <c:formatCode>#,##0.00</c:formatCode>
                <c:ptCount val="5"/>
                <c:pt idx="0">
                  <c:v>14.52</c:v>
                </c:pt>
                <c:pt idx="1">
                  <c:v>14.53</c:v>
                </c:pt>
                <c:pt idx="2">
                  <c:v>14.66</c:v>
                </c:pt>
                <c:pt idx="3">
                  <c:v>14.56</c:v>
                </c:pt>
                <c:pt idx="4">
                  <c:v>14.73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8-4CFF-88F3-B20B23B794D4}"/>
            </c:ext>
          </c:extLst>
        </c:ser>
        <c:ser>
          <c:idx val="1"/>
          <c:order val="1"/>
          <c:tx>
            <c:strRef>
              <c:f>図6!$R$7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76595744680851E-2"/>
                  <c:y val="-4.7089947089947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8-4CFF-88F3-B20B23B794D4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図6!$P$8:$P$12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図6!$R$8:$R$12</c:f>
              <c:numCache>
                <c:formatCode>#,##0.00</c:formatCode>
                <c:ptCount val="5"/>
                <c:pt idx="0">
                  <c:v>9.98</c:v>
                </c:pt>
                <c:pt idx="1">
                  <c:v>9.84</c:v>
                </c:pt>
                <c:pt idx="2">
                  <c:v>9.74</c:v>
                </c:pt>
                <c:pt idx="3">
                  <c:v>9.5500000000000007</c:v>
                </c:pt>
                <c:pt idx="4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48-4CFF-88F3-B20B23B794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5894328"/>
        <c:axId val="325897856"/>
      </c:lineChart>
      <c:catAx>
        <c:axId val="325894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97856"/>
        <c:scaling>
          <c:orientation val="minMax"/>
          <c:max val="19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4328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76494427558258"/>
          <c:y val="0.10052937827216042"/>
          <c:w val="0.25227963525835867"/>
          <c:h val="0.12962990737268951"/>
        </c:manualLayout>
      </c:layout>
      <c:overlay val="0"/>
      <c:spPr>
        <a:solidFill>
          <a:srgbClr val="FFFFFF"/>
        </a:solidFill>
        <a:ln w="25400">
          <a:solidFill>
            <a:srgbClr val="0000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＜入院外＞</a:t>
            </a:r>
          </a:p>
        </c:rich>
      </c:tx>
      <c:layout>
        <c:manualLayout>
          <c:xMode val="edge"/>
          <c:yMode val="edge"/>
          <c:x val="0.41945288753799403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14285714293"/>
          <c:y val="8.9947322325878251E-2"/>
          <c:w val="0.78115501519756858"/>
          <c:h val="0.82804446729411441"/>
        </c:manualLayout>
      </c:layout>
      <c:lineChart>
        <c:grouping val="standard"/>
        <c:varyColors val="0"/>
        <c:ser>
          <c:idx val="0"/>
          <c:order val="0"/>
          <c:tx>
            <c:strRef>
              <c:f>図6!$Q$14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342451874366769E-2"/>
                  <c:y val="6.64902998236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D-45A4-874E-2FBB743BF899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図6!$P$15:$P$19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図6!$Q$15:$Q$19</c:f>
              <c:numCache>
                <c:formatCode>#,##0.00</c:formatCode>
                <c:ptCount val="5"/>
                <c:pt idx="0">
                  <c:v>1.57</c:v>
                </c:pt>
                <c:pt idx="1">
                  <c:v>1.55</c:v>
                </c:pt>
                <c:pt idx="2">
                  <c:v>1.54</c:v>
                </c:pt>
                <c:pt idx="3">
                  <c:v>1.51</c:v>
                </c:pt>
                <c:pt idx="4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D-45A4-874E-2FBB743BF899}"/>
            </c:ext>
          </c:extLst>
        </c:ser>
        <c:ser>
          <c:idx val="1"/>
          <c:order val="1"/>
          <c:tx>
            <c:strRef>
              <c:f>図6!$R$14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90273556231185E-3"/>
                  <c:y val="-3.4918135233095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0D-45A4-874E-2FBB743BF899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図6!$P$15:$P$19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図6!$R$15:$R$19</c:f>
              <c:numCache>
                <c:formatCode>#,##0.00</c:formatCode>
                <c:ptCount val="5"/>
                <c:pt idx="0">
                  <c:v>1.44</c:v>
                </c:pt>
                <c:pt idx="1">
                  <c:v>1.42</c:v>
                </c:pt>
                <c:pt idx="2">
                  <c:v>1.41</c:v>
                </c:pt>
                <c:pt idx="3">
                  <c:v>1.39</c:v>
                </c:pt>
                <c:pt idx="4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0D-45A4-874E-2FBB743BF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95896"/>
        <c:axId val="325894720"/>
      </c:lineChart>
      <c:catAx>
        <c:axId val="325895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9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5896"/>
        <c:crosses val="autoZero"/>
        <c:crossBetween val="midCat"/>
        <c:majorUnit val="0.1"/>
        <c:minorUnit val="0.0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12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＜歯科＞</a:t>
            </a:r>
          </a:p>
        </c:rich>
      </c:tx>
      <c:layout>
        <c:manualLayout>
          <c:xMode val="edge"/>
          <c:yMode val="edge"/>
          <c:x val="0.41945288753799403"/>
          <c:y val="1.7094017094017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14285714293"/>
          <c:y val="9.6866366370543966E-2"/>
          <c:w val="0.78115501519756858"/>
          <c:h val="0.81481708182281021"/>
        </c:manualLayout>
      </c:layout>
      <c:lineChart>
        <c:grouping val="standard"/>
        <c:varyColors val="0"/>
        <c:ser>
          <c:idx val="0"/>
          <c:order val="0"/>
          <c:tx>
            <c:strRef>
              <c:f>図6!$T$7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131712259371815E-2"/>
                  <c:y val="6.7806267806267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F-45E5-9554-57662FA8F89A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図6!$S$8:$S$12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図6!$T$8:$T$12</c:f>
              <c:numCache>
                <c:formatCode>#,##0.00</c:formatCode>
                <c:ptCount val="5"/>
                <c:pt idx="0">
                  <c:v>1.85</c:v>
                </c:pt>
                <c:pt idx="1">
                  <c:v>1.81</c:v>
                </c:pt>
                <c:pt idx="2">
                  <c:v>1.76</c:v>
                </c:pt>
                <c:pt idx="3">
                  <c:v>1.78</c:v>
                </c:pt>
                <c:pt idx="4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F-45E5-9554-57662FA8F89A}"/>
            </c:ext>
          </c:extLst>
        </c:ser>
        <c:ser>
          <c:idx val="1"/>
          <c:order val="1"/>
          <c:tx>
            <c:strRef>
              <c:f>図6!$U$7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316109422492401E-2"/>
                  <c:y val="8.8698955365622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F-45E5-9554-57662FA8F89A}"/>
                </c:ext>
              </c:extLst>
            </c:dLbl>
            <c:numFmt formatCode="#,##0.0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図6!$S$8:$S$12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図6!$U$8:$U$12</c:f>
              <c:numCache>
                <c:formatCode>#,##0.00</c:formatCode>
                <c:ptCount val="5"/>
                <c:pt idx="0">
                  <c:v>1.78</c:v>
                </c:pt>
                <c:pt idx="1">
                  <c:v>1.74</c:v>
                </c:pt>
                <c:pt idx="2">
                  <c:v>1.7</c:v>
                </c:pt>
                <c:pt idx="3">
                  <c:v>1.7</c:v>
                </c:pt>
                <c:pt idx="4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AF-45E5-9554-57662FA8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98640"/>
        <c:axId val="325899424"/>
      </c:lineChart>
      <c:catAx>
        <c:axId val="32589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9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8640"/>
        <c:crosses val="autoZero"/>
        <c:crossBetween val="midCat"/>
        <c:majorUnit val="0.1"/>
        <c:minorUnit val="0.0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＜入院＞</a:t>
            </a:r>
          </a:p>
        </c:rich>
      </c:tx>
      <c:layout>
        <c:manualLayout>
          <c:xMode val="edge"/>
          <c:yMode val="edge"/>
          <c:x val="0.41945288753799403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56838905775082"/>
          <c:y val="8.9947322325878251E-2"/>
          <c:w val="0.72644376899696028"/>
          <c:h val="0.82804446729411441"/>
        </c:manualLayout>
      </c:layout>
      <c:lineChart>
        <c:grouping val="standard"/>
        <c:varyColors val="0"/>
        <c:ser>
          <c:idx val="0"/>
          <c:order val="0"/>
          <c:tx>
            <c:strRef>
              <c:f>図7!$Q$7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368794326241134E-2"/>
                  <c:y val="-4.532627865961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CF-45C2-9623-177DD847D1C9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図7!$P$8:$P$12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図7!$Q$8:$Q$12</c:f>
              <c:numCache>
                <c:formatCode>#,##0.00</c:formatCode>
                <c:ptCount val="5"/>
                <c:pt idx="0">
                  <c:v>39331.79</c:v>
                </c:pt>
                <c:pt idx="1">
                  <c:v>39949.64</c:v>
                </c:pt>
                <c:pt idx="2">
                  <c:v>40615.64</c:v>
                </c:pt>
                <c:pt idx="3">
                  <c:v>41240.07</c:v>
                </c:pt>
                <c:pt idx="4">
                  <c:v>43833.51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F-45C2-9623-177DD847D1C9}"/>
            </c:ext>
          </c:extLst>
        </c:ser>
        <c:ser>
          <c:idx val="1"/>
          <c:order val="1"/>
          <c:tx>
            <c:strRef>
              <c:f>図7!$R$7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342451874366769E-2"/>
                  <c:y val="-7.8835978835978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CF-45C2-9623-177DD847D1C9}"/>
                </c:ext>
              </c:extLst>
            </c:dLbl>
            <c:dLbl>
              <c:idx val="2"/>
              <c:layout>
                <c:manualLayout>
                  <c:x val="-9.1185410334346503E-2"/>
                  <c:y val="-3.650793650793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F-45C2-9623-177DD847D1C9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図7!$P$8:$P$12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図7!$R$8:$R$12</c:f>
              <c:numCache>
                <c:formatCode>#,##0.00</c:formatCode>
                <c:ptCount val="5"/>
                <c:pt idx="0">
                  <c:v>52282.91</c:v>
                </c:pt>
                <c:pt idx="1">
                  <c:v>54230.82</c:v>
                </c:pt>
                <c:pt idx="2">
                  <c:v>55963.17</c:v>
                </c:pt>
                <c:pt idx="3">
                  <c:v>58490.12</c:v>
                </c:pt>
                <c:pt idx="4">
                  <c:v>62665.77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CF-45C2-9623-177DD847D1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5899816"/>
        <c:axId val="325895504"/>
      </c:lineChart>
      <c:catAx>
        <c:axId val="32589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5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95504"/>
        <c:scaling>
          <c:orientation val="minMax"/>
          <c:min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99816"/>
        <c:crosses val="autoZero"/>
        <c:crossBetween val="midCat"/>
        <c:majorUnit val="2000"/>
        <c:min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263424518743667"/>
          <c:y val="0.10052937827216042"/>
          <c:w val="0.25633232016210739"/>
          <c:h val="0.14285742060020268"/>
        </c:manualLayout>
      </c:layout>
      <c:overlay val="0"/>
      <c:spPr>
        <a:solidFill>
          <a:srgbClr val="FFFFFF"/>
        </a:solidFill>
        <a:ln w="25400">
          <a:solidFill>
            <a:srgbClr val="0000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＜入院外＞</a:t>
            </a:r>
          </a:p>
        </c:rich>
      </c:tx>
      <c:layout>
        <c:manualLayout>
          <c:xMode val="edge"/>
          <c:yMode val="edge"/>
          <c:x val="0.41945288753799403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56838905775082"/>
          <c:y val="8.9947322325878251E-2"/>
          <c:w val="0.72644376899696028"/>
          <c:h val="0.82804446729411441"/>
        </c:manualLayout>
      </c:layout>
      <c:lineChart>
        <c:grouping val="standard"/>
        <c:varyColors val="0"/>
        <c:ser>
          <c:idx val="0"/>
          <c:order val="0"/>
          <c:tx>
            <c:strRef>
              <c:f>図7!$Q$14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5197568389057751E-2"/>
                  <c:y val="-5.5908289241622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64-4B34-A44A-9A76809C08AD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図7!$P$15:$P$19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図7!$Q$15:$Q$19</c:f>
              <c:numCache>
                <c:formatCode>#,##0.00</c:formatCode>
                <c:ptCount val="5"/>
                <c:pt idx="0">
                  <c:v>9213.14</c:v>
                </c:pt>
                <c:pt idx="1">
                  <c:v>9463.82</c:v>
                </c:pt>
                <c:pt idx="2">
                  <c:v>9804.25</c:v>
                </c:pt>
                <c:pt idx="3">
                  <c:v>10649.76</c:v>
                </c:pt>
                <c:pt idx="4">
                  <c:v>10906.21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4-4B34-A44A-9A76809C08AD}"/>
            </c:ext>
          </c:extLst>
        </c:ser>
        <c:ser>
          <c:idx val="1"/>
          <c:order val="1"/>
          <c:tx>
            <c:strRef>
              <c:f>図7!$R$14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76595744680851E-2"/>
                  <c:y val="4.356261022927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64-4B34-A44A-9A76809C08AD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図7!$P$15:$P$19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図7!$R$15:$R$19</c:f>
              <c:numCache>
                <c:formatCode>#,##0.00</c:formatCode>
                <c:ptCount val="5"/>
                <c:pt idx="0">
                  <c:v>8298.86</c:v>
                </c:pt>
                <c:pt idx="1">
                  <c:v>8412.48</c:v>
                </c:pt>
                <c:pt idx="2">
                  <c:v>8691.27</c:v>
                </c:pt>
                <c:pt idx="3">
                  <c:v>9427.1299999999992</c:v>
                </c:pt>
                <c:pt idx="4">
                  <c:v>9755.08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64-4B34-A44A-9A76809C0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30400"/>
        <c:axId val="325830792"/>
      </c:lineChart>
      <c:catAx>
        <c:axId val="325830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30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30792"/>
        <c:scaling>
          <c:orientation val="minMax"/>
          <c:min val="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30400"/>
        <c:crosses val="autoZero"/>
        <c:crossBetween val="midCat"/>
        <c:majorUnit val="200"/>
        <c:minorUnit val="5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12" orientation="landscape" horizontalDpi="300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＜歯科＞</a:t>
            </a:r>
          </a:p>
        </c:rich>
      </c:tx>
      <c:layout>
        <c:manualLayout>
          <c:xMode val="edge"/>
          <c:yMode val="edge"/>
          <c:x val="0.41945288753799403"/>
          <c:y val="1.7094017094017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56838905775082"/>
          <c:y val="9.6866366370543966E-2"/>
          <c:w val="0.72644376899696028"/>
          <c:h val="0.81481708182281021"/>
        </c:manualLayout>
      </c:layout>
      <c:lineChart>
        <c:grouping val="standard"/>
        <c:varyColors val="0"/>
        <c:ser>
          <c:idx val="0"/>
          <c:order val="0"/>
          <c:tx>
            <c:strRef>
              <c:f>図7!$T$7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302938196555219E-2"/>
                  <c:y val="4.501424501424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0-4BB7-83CB-E7229348A086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図7!$S$8:$S$12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図7!$T$8:$T$12</c:f>
              <c:numCache>
                <c:formatCode>#,##0.00</c:formatCode>
                <c:ptCount val="5"/>
                <c:pt idx="0">
                  <c:v>6658.66</c:v>
                </c:pt>
                <c:pt idx="1">
                  <c:v>6790.51</c:v>
                </c:pt>
                <c:pt idx="2">
                  <c:v>6875.62</c:v>
                </c:pt>
                <c:pt idx="3">
                  <c:v>7363.11</c:v>
                </c:pt>
                <c:pt idx="4">
                  <c:v>7536.05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0-4BB7-83CB-E7229348A086}"/>
            </c:ext>
          </c:extLst>
        </c:ser>
        <c:ser>
          <c:idx val="1"/>
          <c:order val="1"/>
          <c:tx>
            <c:strRef>
              <c:f>図7!$U$7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76595744680851E-2"/>
                  <c:y val="-6.2108262108262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0-4BB7-83CB-E7229348A086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図7!$S$8:$S$12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図7!$U$8:$U$12</c:f>
              <c:numCache>
                <c:formatCode>#,##0.00</c:formatCode>
                <c:ptCount val="5"/>
                <c:pt idx="0">
                  <c:v>6860.61</c:v>
                </c:pt>
                <c:pt idx="1">
                  <c:v>6999.04</c:v>
                </c:pt>
                <c:pt idx="2">
                  <c:v>7125.54</c:v>
                </c:pt>
                <c:pt idx="3">
                  <c:v>7604.88</c:v>
                </c:pt>
                <c:pt idx="4">
                  <c:v>7772.87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B0-4BB7-83CB-E7229348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29616"/>
        <c:axId val="325830008"/>
      </c:lineChart>
      <c:catAx>
        <c:axId val="32582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30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583000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5829616"/>
        <c:crosses val="autoZero"/>
        <c:crossBetween val="midCat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＜計＞</a:t>
            </a:r>
          </a:p>
        </c:rich>
      </c:tx>
      <c:layout>
        <c:manualLayout>
          <c:xMode val="edge"/>
          <c:yMode val="edge"/>
          <c:x val="0.41945288753799403"/>
          <c:y val="1.7094017094017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56838905775082"/>
          <c:y val="9.6866366370543966E-2"/>
          <c:w val="0.72644376899696028"/>
          <c:h val="0.81481708182281021"/>
        </c:manualLayout>
      </c:layout>
      <c:lineChart>
        <c:grouping val="standard"/>
        <c:varyColors val="0"/>
        <c:ser>
          <c:idx val="0"/>
          <c:order val="0"/>
          <c:tx>
            <c:strRef>
              <c:f>図7!$T$14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368794326241134E-2"/>
                  <c:y val="4.881291547958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94-4C39-8CC5-74DB0366C999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図7!$S$15:$S$19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図7!$T$15:$T$19</c:f>
              <c:numCache>
                <c:formatCode>#,##0.00</c:formatCode>
                <c:ptCount val="5"/>
                <c:pt idx="0">
                  <c:v>12989.64</c:v>
                </c:pt>
                <c:pt idx="1">
                  <c:v>13313.78</c:v>
                </c:pt>
                <c:pt idx="2">
                  <c:v>13724.16</c:v>
                </c:pt>
                <c:pt idx="3">
                  <c:v>14798.74</c:v>
                </c:pt>
                <c:pt idx="4">
                  <c:v>15143.67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4-4C39-8CC5-74DB0366C999}"/>
            </c:ext>
          </c:extLst>
        </c:ser>
        <c:ser>
          <c:idx val="1"/>
          <c:order val="1"/>
          <c:tx>
            <c:strRef>
              <c:f>図7!$U$14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289766970618033E-2"/>
                  <c:y val="5.45109211775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94-4C39-8CC5-74DB0366C999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図7!$S$15:$S$19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図7!$U$15:$U$19</c:f>
              <c:numCache>
                <c:formatCode>#,##0.00</c:formatCode>
                <c:ptCount val="5"/>
                <c:pt idx="0">
                  <c:v>11571.86</c:v>
                </c:pt>
                <c:pt idx="1">
                  <c:v>11775.66</c:v>
                </c:pt>
                <c:pt idx="2">
                  <c:v>12106.42</c:v>
                </c:pt>
                <c:pt idx="3">
                  <c:v>12939.96</c:v>
                </c:pt>
                <c:pt idx="4">
                  <c:v>13361.68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4-4C39-8CC5-74DB0366C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51512"/>
        <c:axId val="326546416"/>
      </c:lineChart>
      <c:catAx>
        <c:axId val="326551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546416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51512"/>
        <c:crosses val="autoZero"/>
        <c:crossBetween val="midCat"/>
        <c:majorUnit val="400"/>
        <c:minorUnit val="5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＜入院＞</a:t>
            </a:r>
          </a:p>
        </c:rich>
      </c:tx>
      <c:layout>
        <c:manualLayout>
          <c:xMode val="edge"/>
          <c:yMode val="edge"/>
          <c:x val="0.43125000000000002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125"/>
          <c:y val="8.4656303365532551E-2"/>
          <c:w val="0.72187500000000038"/>
          <c:h val="0.83333548625445975"/>
        </c:manualLayout>
      </c:layout>
      <c:lineChart>
        <c:grouping val="standard"/>
        <c:varyColors val="0"/>
        <c:ser>
          <c:idx val="0"/>
          <c:order val="0"/>
          <c:tx>
            <c:strRef>
              <c:f>図8!$Q$7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666666666666664E-2"/>
                  <c:y val="-4.8853615520282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2B-4C44-892F-6FC916E55DF4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図8!$P$8:$P$12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図8!$Q$8:$Q$12</c:f>
              <c:numCache>
                <c:formatCode>#,##0.00</c:formatCode>
                <c:ptCount val="5"/>
                <c:pt idx="0">
                  <c:v>104356.45</c:v>
                </c:pt>
                <c:pt idx="1">
                  <c:v>106507.28</c:v>
                </c:pt>
                <c:pt idx="2">
                  <c:v>109785.7</c:v>
                </c:pt>
                <c:pt idx="3">
                  <c:v>107705.83</c:v>
                </c:pt>
                <c:pt idx="4">
                  <c:v>117585.14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B-4C44-892F-6FC916E55DF4}"/>
            </c:ext>
          </c:extLst>
        </c:ser>
        <c:ser>
          <c:idx val="1"/>
          <c:order val="1"/>
          <c:tx>
            <c:strRef>
              <c:f>図8!$R$7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25E-2"/>
                  <c:y val="-4.356261022927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2B-4C44-892F-6FC916E55DF4}"/>
                </c:ext>
              </c:extLst>
            </c:dLbl>
            <c:dLbl>
              <c:idx val="1"/>
              <c:layout>
                <c:manualLayout>
                  <c:x val="-6.8750000000000033E-2"/>
                  <c:y val="-5.0617283950617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2B-4C44-892F-6FC916E55DF4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図8!$P$8:$P$12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図8!$R$8:$R$12</c:f>
              <c:numCache>
                <c:formatCode>#,##0.00</c:formatCode>
                <c:ptCount val="5"/>
                <c:pt idx="0">
                  <c:v>57363.24</c:v>
                </c:pt>
                <c:pt idx="1">
                  <c:v>57929.56</c:v>
                </c:pt>
                <c:pt idx="2">
                  <c:v>58427.31</c:v>
                </c:pt>
                <c:pt idx="3">
                  <c:v>54850.46</c:v>
                </c:pt>
                <c:pt idx="4">
                  <c:v>59472.480000000003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2B-4C44-892F-6FC916E55D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6551904"/>
        <c:axId val="326548376"/>
      </c:lineChart>
      <c:catAx>
        <c:axId val="326551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8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548376"/>
        <c:scaling>
          <c:orientation val="minMax"/>
          <c:max val="15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51904"/>
        <c:crosses val="autoZero"/>
        <c:crossBetween val="midCat"/>
        <c:majorUnit val="10000"/>
        <c:min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875"/>
          <c:y val="0.10405727061895041"/>
          <c:w val="0.26770833333333333"/>
          <c:h val="0.14285742060020268"/>
        </c:manualLayout>
      </c:layout>
      <c:overlay val="0"/>
      <c:spPr>
        <a:solidFill>
          <a:srgbClr val="FFFFFF"/>
        </a:solidFill>
        <a:ln w="25400">
          <a:solidFill>
            <a:srgbClr val="0000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>
                <a:ea typeface="ＭＳ ゴシック" panose="020B0609070205080204" pitchFamily="49" charset="-128"/>
              </a:defRPr>
            </a:pPr>
            <a:r>
              <a:rPr lang="ja-JP" altLang="en-US" sz="900" baseline="0">
                <a:ea typeface="ＭＳ ゴシック" panose="020B0609070205080204" pitchFamily="49" charset="-128"/>
              </a:rPr>
              <a:t>＜入院外＞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365016119100233"/>
          <c:y val="7.7602521906983843E-2"/>
          <c:w val="0.69139566052088275"/>
          <c:h val="0.84038939576997329"/>
        </c:manualLayout>
      </c:layout>
      <c:lineChart>
        <c:grouping val="standard"/>
        <c:varyColors val="0"/>
        <c:ser>
          <c:idx val="0"/>
          <c:order val="0"/>
          <c:tx>
            <c:strRef>
              <c:f>図8!$Q$14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84470820969338E-2"/>
                  <c:y val="4.532627865961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7D-478C-86B3-528B0DBF9152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図8!$P$15:$P$19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図8!$Q$15:$Q$19</c:f>
              <c:numCache>
                <c:formatCode>0.000_);[Red]\(0.000\)</c:formatCode>
                <c:ptCount val="5"/>
                <c:pt idx="0">
                  <c:v>113518.518</c:v>
                </c:pt>
                <c:pt idx="1">
                  <c:v>116339.96</c:v>
                </c:pt>
                <c:pt idx="2">
                  <c:v>119731.473</c:v>
                </c:pt>
                <c:pt idx="3">
                  <c:v>115696.692</c:v>
                </c:pt>
                <c:pt idx="4">
                  <c:v>130061.531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D-478C-86B3-528B0DBF9152}"/>
            </c:ext>
          </c:extLst>
        </c:ser>
        <c:ser>
          <c:idx val="1"/>
          <c:order val="1"/>
          <c:tx>
            <c:strRef>
              <c:f>図8!$R$14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04154302670624E-2"/>
                  <c:y val="-4.7089947089947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7D-478C-86B3-528B0DBF9152}"/>
                </c:ext>
              </c:extLst>
            </c:dLbl>
            <c:dLbl>
              <c:idx val="1"/>
              <c:layout>
                <c:manualLayout>
                  <c:x val="-5.7368941641938676E-2"/>
                  <c:y val="-4.7089947089947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7D-478C-86B3-528B0DBF9152}"/>
                </c:ext>
              </c:extLst>
            </c:dLbl>
            <c:dLbl>
              <c:idx val="2"/>
              <c:layout>
                <c:manualLayout>
                  <c:x val="-0.10534140205768047"/>
                  <c:y val="-5.9609493257787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7D-478C-86B3-528B0DBF9152}"/>
                </c:ext>
              </c:extLst>
            </c:dLbl>
            <c:dLbl>
              <c:idx val="3"/>
              <c:layout>
                <c:manualLayout>
                  <c:x val="-5.2670616665223102E-2"/>
                  <c:y val="-8.992282686772845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7D-478C-86B3-528B0DBF9152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図8!$P$15:$P$19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図8!$R$15:$R$19</c:f>
              <c:numCache>
                <c:formatCode>0.000_);[Red]\(0.000\)</c:formatCode>
                <c:ptCount val="5"/>
                <c:pt idx="0">
                  <c:v>77375.178</c:v>
                </c:pt>
                <c:pt idx="1">
                  <c:v>77871.122000000003</c:v>
                </c:pt>
                <c:pt idx="2">
                  <c:v>78881.69</c:v>
                </c:pt>
                <c:pt idx="3">
                  <c:v>74701.938999999998</c:v>
                </c:pt>
                <c:pt idx="4">
                  <c:v>83247.043999999994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7D-478C-86B3-528B0DBF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49552"/>
        <c:axId val="326545240"/>
      </c:lineChart>
      <c:catAx>
        <c:axId val="32654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5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545240"/>
        <c:scaling>
          <c:orientation val="minMax"/>
          <c:min val="6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9552"/>
        <c:crosses val="autoZero"/>
        <c:crossBetween val="midCat"/>
        <c:majorUnit val="5000"/>
        <c:minorUnit val="100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12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32575548678984"/>
          <c:y val="9.9206765820939055E-2"/>
          <c:w val="0.78210191028346021"/>
          <c:h val="0.79762059310785804"/>
        </c:manualLayout>
      </c:layout>
      <c:pieChart>
        <c:varyColors val="1"/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D-4AE4-B5F8-4B9012EB669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4D-4AE4-B5F8-4B9012EB6692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4D-4AE4-B5F8-4B9012EB6692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4D-4AE4-B5F8-4B9012EB6692}"/>
              </c:ext>
            </c:extLst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44D-4AE4-B5F8-4B9012EB6692}"/>
              </c:ext>
            </c:extLst>
          </c:dPt>
          <c:dPt>
            <c:idx val="5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44D-4AE4-B5F8-4B9012EB6692}"/>
              </c:ext>
            </c:extLst>
          </c:dPt>
          <c:dPt>
            <c:idx val="6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44D-4AE4-B5F8-4B9012EB669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44D-4AE4-B5F8-4B9012EB669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D-4AE4-B5F8-4B9012EB6692}"/>
                </c:ext>
              </c:extLst>
            </c:dLbl>
            <c:dLbl>
              <c:idx val="2"/>
              <c:spPr>
                <a:solidFill>
                  <a:srgbClr val="CC99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44D-4AE4-B5F8-4B9012EB669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44D-4AE4-B5F8-4B9012EB6692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44D-4AE4-B5F8-4B9012EB6692}"/>
                </c:ext>
              </c:extLst>
            </c:dLbl>
            <c:dLbl>
              <c:idx val="6"/>
              <c:spPr>
                <a:solidFill>
                  <a:srgbClr val="FF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44D-4AE4-B5F8-4B9012EB6692}"/>
                </c:ext>
              </c:extLst>
            </c:dLbl>
            <c:dLbl>
              <c:idx val="7"/>
              <c:spPr>
                <a:solidFill>
                  <a:srgbClr val="00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44D-4AE4-B5F8-4B9012EB6692}"/>
                </c:ext>
              </c:extLst>
            </c:dLbl>
            <c:dLbl>
              <c:idx val="10"/>
              <c:spPr>
                <a:solidFill>
                  <a:srgbClr val="FF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44D-4AE4-B5F8-4B9012EB66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図2!$P$20:$V$20</c:f>
              <c:strCache>
                <c:ptCount val="7"/>
                <c:pt idx="0">
                  <c:v> 一般
被保険者分
25.17%</c:v>
                </c:pt>
                <c:pt idx="1">
                  <c:v>退職
被保険者等分
%</c:v>
                </c:pt>
                <c:pt idx="2">
                  <c:v>国庫支出金 0.27%</c:v>
                </c:pt>
                <c:pt idx="3">
                  <c:v>都道府県支出金63.26%</c:v>
                </c:pt>
                <c:pt idx="5">
                  <c:v>一般会計繰入金8.90%</c:v>
                </c:pt>
                <c:pt idx="6">
                  <c:v> その他 2.39%</c:v>
                </c:pt>
              </c:strCache>
            </c:strRef>
          </c:cat>
          <c:val>
            <c:numRef>
              <c:f>図2!$P$21:$V$21</c:f>
              <c:numCache>
                <c:formatCode>#,##0.0;[Red]\-#,##0.0</c:formatCode>
                <c:ptCount val="7"/>
                <c:pt idx="0">
                  <c:v>25.2</c:v>
                </c:pt>
                <c:pt idx="1">
                  <c:v>0</c:v>
                </c:pt>
                <c:pt idx="2">
                  <c:v>0.3</c:v>
                </c:pt>
                <c:pt idx="3">
                  <c:v>63.3</c:v>
                </c:pt>
                <c:pt idx="4">
                  <c:v>0</c:v>
                </c:pt>
                <c:pt idx="5">
                  <c:v>8.9</c:v>
                </c:pt>
                <c:pt idx="6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4D-4AE4-B5F8-4B9012EB6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spPr>
            <a:ln>
              <a:solidFill>
                <a:srgbClr val="000000"/>
              </a:solidFill>
            </a:ln>
          </c:spPr>
          <c:explosion val="66"/>
          <c:dPt>
            <c:idx val="0"/>
            <c:bubble3D val="0"/>
            <c:explosion val="0"/>
            <c:spPr>
              <a:solidFill>
                <a:srgbClr val="C0C0C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F44D-4AE4-B5F8-4B9012EB6692}"/>
              </c:ext>
            </c:extLst>
          </c:dPt>
          <c:dPt>
            <c:idx val="1"/>
            <c:bubble3D val="0"/>
            <c:explosion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F44D-4AE4-B5F8-4B9012EB6692}"/>
              </c:ext>
            </c:extLst>
          </c:dPt>
          <c:dPt>
            <c:idx val="2"/>
            <c:bubble3D val="0"/>
            <c:explosion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F44D-4AE4-B5F8-4B9012EB6692}"/>
              </c:ext>
            </c:extLst>
          </c:dPt>
          <c:dPt>
            <c:idx val="3"/>
            <c:bubble3D val="0"/>
            <c:explosion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F44D-4AE4-B5F8-4B9012EB6692}"/>
              </c:ext>
            </c:extLst>
          </c:dPt>
          <c:dPt>
            <c:idx val="4"/>
            <c:bubble3D val="0"/>
            <c:explosion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A-F44D-4AE4-B5F8-4B9012EB6692}"/>
              </c:ext>
            </c:extLst>
          </c:dPt>
          <c:dPt>
            <c:idx val="5"/>
            <c:bubble3D val="0"/>
            <c:explosion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44D-4AE4-B5F8-4B9012EB669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44D-4AE4-B5F8-4B9012EB66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図2!$P$15:$U$15</c:f>
              <c:strCache>
                <c:ptCount val="1"/>
                <c:pt idx="0">
                  <c:v>保険料 
25.17%</c:v>
                </c:pt>
              </c:strCache>
            </c:strRef>
          </c:cat>
          <c:val>
            <c:numRef>
              <c:f>図2!$P$16:$U$16</c:f>
              <c:numCache>
                <c:formatCode>#,##0.0;[Red]\-#,##0.0</c:formatCode>
                <c:ptCount val="6"/>
                <c:pt idx="0">
                  <c:v>25.2</c:v>
                </c:pt>
                <c:pt idx="1">
                  <c:v>0.3</c:v>
                </c:pt>
                <c:pt idx="2">
                  <c:v>63.3</c:v>
                </c:pt>
                <c:pt idx="3">
                  <c:v>0</c:v>
                </c:pt>
                <c:pt idx="4">
                  <c:v>8.9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44D-4AE4-B5F8-4B9012EB6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＜歯科＞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5000000000001"/>
          <c:y val="9.1169586707644454E-2"/>
          <c:w val="0.72812500000000024"/>
          <c:h val="0.82051371783655247"/>
        </c:manualLayout>
      </c:layout>
      <c:lineChart>
        <c:grouping val="standard"/>
        <c:varyColors val="0"/>
        <c:ser>
          <c:idx val="0"/>
          <c:order val="0"/>
          <c:tx>
            <c:strRef>
              <c:f>図8!$T$7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000000000000001E-2"/>
                  <c:y val="4.8812915479582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9-4851-A02D-EA8086FBAFF6}"/>
                </c:ext>
              </c:extLst>
            </c:dLbl>
            <c:dLbl>
              <c:idx val="1"/>
              <c:layout>
                <c:manualLayout>
                  <c:x val="-5.8333333333333369E-2"/>
                  <c:y val="4.501424501424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9-4851-A02D-EA8086FBAFF6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図8!$S$8:$S$12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図8!$T$8:$T$12</c:f>
              <c:numCache>
                <c:formatCode>0.000_);[Red]\(0.000\)</c:formatCode>
                <c:ptCount val="5"/>
                <c:pt idx="0">
                  <c:v>24569.213</c:v>
                </c:pt>
                <c:pt idx="1">
                  <c:v>24654.543000000001</c:v>
                </c:pt>
                <c:pt idx="2">
                  <c:v>24916.293000000001</c:v>
                </c:pt>
                <c:pt idx="3">
                  <c:v>23748.819</c:v>
                </c:pt>
                <c:pt idx="4">
                  <c:v>26179.266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9-4851-A02D-EA8086FBAFF6}"/>
            </c:ext>
          </c:extLst>
        </c:ser>
        <c:ser>
          <c:idx val="1"/>
          <c:order val="1"/>
          <c:tx>
            <c:strRef>
              <c:f>図8!$U$7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083333333333334E-2"/>
                  <c:y val="-3.9316239316239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9-4851-A02D-EA8086FBAFF6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図8!$S$8:$S$12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図8!$U$8:$U$12</c:f>
              <c:numCache>
                <c:formatCode>0.000_);[Red]\(0.000\)</c:formatCode>
                <c:ptCount val="5"/>
                <c:pt idx="0">
                  <c:v>20606.665000000001</c:v>
                </c:pt>
                <c:pt idx="1">
                  <c:v>20834.692999999999</c:v>
                </c:pt>
                <c:pt idx="2">
                  <c:v>21161.126</c:v>
                </c:pt>
                <c:pt idx="3">
                  <c:v>21209.953000000001</c:v>
                </c:pt>
                <c:pt idx="4">
                  <c:v>22272.201000000001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C9-4851-A02D-EA8086FB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47592"/>
        <c:axId val="326548768"/>
      </c:lineChart>
      <c:catAx>
        <c:axId val="326547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548768"/>
        <c:scaling>
          <c:orientation val="minMax"/>
          <c:max val="27000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7592"/>
        <c:crosses val="autoZero"/>
        <c:crossBetween val="midCat"/>
        <c:majorUnit val="1000"/>
        <c:minorUnit val="50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＜計＞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14540059347181"/>
          <c:y val="9.2117758784425449E-2"/>
          <c:w val="0.67359050445103863"/>
          <c:h val="0.81956315289648618"/>
        </c:manualLayout>
      </c:layout>
      <c:lineChart>
        <c:grouping val="standard"/>
        <c:varyColors val="0"/>
        <c:ser>
          <c:idx val="0"/>
          <c:order val="0"/>
          <c:tx>
            <c:strRef>
              <c:f>図8!$T$14</c:f>
              <c:strCache>
                <c:ptCount val="1"/>
                <c:pt idx="0">
                  <c:v>公営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815034619188922E-2"/>
                  <c:y val="4.5014245014244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1-4C68-87A3-9B339B91B8F9}"/>
                </c:ext>
              </c:extLst>
            </c:dLbl>
            <c:dLbl>
              <c:idx val="1"/>
              <c:layout>
                <c:manualLayout>
                  <c:x val="-4.8466864490603362E-2"/>
                  <c:y val="5.2611585944919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1-4C68-87A3-9B339B91B8F9}"/>
                </c:ext>
              </c:extLst>
            </c:dLbl>
            <c:dLbl>
              <c:idx val="2"/>
              <c:layout>
                <c:manualLayout>
                  <c:x val="-7.2205736894164124E-2"/>
                  <c:y val="4.8812915479582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1-4C68-87A3-9B339B91B8F9}"/>
                </c:ext>
              </c:extLst>
            </c:dLbl>
            <c:dLbl>
              <c:idx val="3"/>
              <c:layout>
                <c:manualLayout>
                  <c:x val="-7.2205736894164194E-2"/>
                  <c:y val="4.8812915479582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1-4C68-87A3-9B339B91B8F9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図8!$S$15:$S$19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図8!$T$15:$T$19</c:f>
              <c:numCache>
                <c:formatCode>0.000_);[Red]\(0.000\)</c:formatCode>
                <c:ptCount val="5"/>
                <c:pt idx="0">
                  <c:v>242444.18</c:v>
                </c:pt>
                <c:pt idx="1">
                  <c:v>247501.78700000001</c:v>
                </c:pt>
                <c:pt idx="2">
                  <c:v>254433.46900000001</c:v>
                </c:pt>
                <c:pt idx="3">
                  <c:v>247151.34400000001</c:v>
                </c:pt>
                <c:pt idx="4">
                  <c:v>273825.93800000002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D1-4C68-87A3-9B339B91B8F9}"/>
            </c:ext>
          </c:extLst>
        </c:ser>
        <c:ser>
          <c:idx val="1"/>
          <c:order val="1"/>
          <c:tx>
            <c:strRef>
              <c:f>図8!$U$14</c:f>
              <c:strCache>
                <c:ptCount val="1"/>
                <c:pt idx="0">
                  <c:v>組合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706231454005934E-2"/>
                  <c:y val="-5.565052231718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1-4C68-87A3-9B339B91B8F9}"/>
                </c:ext>
              </c:extLst>
            </c:dLbl>
            <c:dLbl>
              <c:idx val="1"/>
              <c:layout>
                <c:manualLayout>
                  <c:x val="-6.2314540059347182E-2"/>
                  <c:y val="-5.9449192782526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1-4C68-87A3-9B339B91B8F9}"/>
                </c:ext>
              </c:extLst>
            </c:dLbl>
            <c:dLbl>
              <c:idx val="2"/>
              <c:layout>
                <c:manualLayout>
                  <c:x val="-8.6053412462908013E-2"/>
                  <c:y val="-6.7046533713200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1-4C68-87A3-9B339B91B8F9}"/>
                </c:ext>
              </c:extLst>
            </c:dLbl>
            <c:dLbl>
              <c:idx val="3"/>
              <c:layout>
                <c:manualLayout>
                  <c:x val="-9.7922848664688422E-2"/>
                  <c:y val="-7.0845204178537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D1-4C68-87A3-9B339B91B8F9}"/>
                </c:ext>
              </c:extLst>
            </c:dLbl>
            <c:dLbl>
              <c:idx val="4"/>
              <c:layout>
                <c:manualLayout>
                  <c:x val="-2.0771513353115726E-2"/>
                  <c:y val="-7.084520417853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1-4C68-87A3-9B339B91B8F9}"/>
                </c:ext>
              </c:extLst>
            </c:dLbl>
            <c:numFmt formatCode="#,##0_ ;[Red]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図8!$S$15:$S$19</c:f>
              <c:strCache>
                <c:ptCount val="5"/>
                <c:pt idx="0">
                  <c:v>29年度</c:v>
                </c:pt>
                <c:pt idx="1">
                  <c:v>30年度</c:v>
                </c:pt>
                <c:pt idx="2">
                  <c:v>元年度</c:v>
                </c:pt>
                <c:pt idx="3">
                  <c:v>2年度</c:v>
                </c:pt>
                <c:pt idx="4">
                  <c:v>3年度</c:v>
                </c:pt>
              </c:strCache>
            </c:strRef>
          </c:cat>
          <c:val>
            <c:numRef>
              <c:f>図8!$U$15:$U$19</c:f>
              <c:numCache>
                <c:formatCode>0.000_);[Red]\(0.000\)</c:formatCode>
                <c:ptCount val="5"/>
                <c:pt idx="0">
                  <c:v>155345.084</c:v>
                </c:pt>
                <c:pt idx="1">
                  <c:v>156635.37</c:v>
                </c:pt>
                <c:pt idx="2">
                  <c:v>158470.12299999999</c:v>
                </c:pt>
                <c:pt idx="3">
                  <c:v>150762.353</c:v>
                </c:pt>
                <c:pt idx="4">
                  <c:v>164991.72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D1-4C68-87A3-9B339B91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44456"/>
        <c:axId val="326549944"/>
      </c:lineChart>
      <c:catAx>
        <c:axId val="326544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9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6549944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26544456"/>
        <c:crosses val="autoZero"/>
        <c:crossBetween val="midCat"/>
        <c:majorUnit val="10000"/>
        <c:minorUnit val="2500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76300578034696"/>
          <c:y val="0.10905371707360208"/>
          <c:w val="0.5982658959537569"/>
          <c:h val="0.85185356355606101"/>
        </c:manualLayout>
      </c:layout>
      <c:pieChart>
        <c:varyColors val="1"/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D-4B4C-822C-898C61BDEA9D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4D-4B4C-822C-898C61BDEA9D}"/>
              </c:ext>
            </c:extLst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4D-4B4C-822C-898C61BDEA9D}"/>
              </c:ext>
            </c:extLst>
          </c:dPt>
          <c:dPt>
            <c:idx val="3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4D-4B4C-822C-898C61BDEA9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4D-4B4C-822C-898C61BDEA9D}"/>
              </c:ext>
            </c:extLst>
          </c:dPt>
          <c:dPt>
            <c:idx val="5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4D-4B4C-822C-898C61BDEA9D}"/>
              </c:ext>
            </c:extLst>
          </c:dPt>
          <c:dPt>
            <c:idx val="6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C4D-4B4C-822C-898C61BDEA9D}"/>
              </c:ext>
            </c:extLst>
          </c:dPt>
          <c:dPt>
            <c:idx val="7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C4D-4B4C-822C-898C61BDEA9D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C4D-4B4C-822C-898C61BDEA9D}"/>
              </c:ext>
            </c:extLst>
          </c:dPt>
          <c:dPt>
            <c:idx val="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C4D-4B4C-822C-898C61BDEA9D}"/>
              </c:ext>
            </c:extLst>
          </c:dPt>
          <c:dPt>
            <c:idx val="1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C4D-4B4C-822C-898C61BDEA9D}"/>
              </c:ext>
            </c:extLst>
          </c:dPt>
          <c:dPt>
            <c:idx val="1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C4D-4B4C-822C-898C61BDEA9D}"/>
              </c:ext>
            </c:extLst>
          </c:dPt>
          <c:dPt>
            <c:idx val="12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C4D-4B4C-822C-898C61BDEA9D}"/>
              </c:ext>
            </c:extLst>
          </c:dPt>
          <c:dPt>
            <c:idx val="1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C4D-4B4C-822C-898C61BDEA9D}"/>
              </c:ext>
            </c:extLst>
          </c:dPt>
          <c:dPt>
            <c:idx val="1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C4D-4B4C-822C-898C61BDEA9D}"/>
              </c:ext>
            </c:extLst>
          </c:dPt>
          <c:dPt>
            <c:idx val="15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C4D-4B4C-822C-898C61BDEA9D}"/>
              </c:ext>
            </c:extLst>
          </c:dPt>
          <c:dLbls>
            <c:dLbl>
              <c:idx val="0"/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C4D-4B4C-822C-898C61BDEA9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C4D-4B4C-822C-898C61BDEA9D}"/>
                </c:ext>
              </c:extLst>
            </c:dLbl>
            <c:dLbl>
              <c:idx val="2"/>
              <c:spPr>
                <a:solidFill>
                  <a:srgbClr val="CC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4D-4B4C-822C-898C61BDEA9D}"/>
                </c:ext>
              </c:extLst>
            </c:dLbl>
            <c:dLbl>
              <c:idx val="3"/>
              <c:spPr>
                <a:solidFill>
                  <a:srgbClr val="9999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C4D-4B4C-822C-898C61BDEA9D}"/>
                </c:ext>
              </c:extLst>
            </c:dLbl>
            <c:dLbl>
              <c:idx val="4"/>
              <c:spPr>
                <a:solidFill>
                  <a:srgbClr val="FFCC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C4D-4B4C-822C-898C61BDEA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D-4B4C-822C-898C61BDEA9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D-4B4C-822C-898C61BDEA9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4D-4B4C-822C-898C61BDEA9D}"/>
                </c:ext>
              </c:extLst>
            </c:dLbl>
            <c:dLbl>
              <c:idx val="8"/>
              <c:spPr>
                <a:solidFill>
                  <a:srgbClr val="99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1C4D-4B4C-822C-898C61BDEA9D}"/>
                </c:ext>
              </c:extLst>
            </c:dLbl>
            <c:dLbl>
              <c:idx val="9"/>
              <c:spPr>
                <a:solidFill>
                  <a:srgbClr val="FFFF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C4D-4B4C-822C-898C61BDEA9D}"/>
                </c:ext>
              </c:extLst>
            </c:dLbl>
            <c:dLbl>
              <c:idx val="10"/>
              <c:spPr>
                <a:solidFill>
                  <a:srgbClr val="FF808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C4D-4B4C-822C-898C61BDEA9D}"/>
                </c:ext>
              </c:extLst>
            </c:dLbl>
            <c:dLbl>
              <c:idx val="11"/>
              <c:spPr>
                <a:solidFill>
                  <a:srgbClr val="99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C4D-4B4C-822C-898C61BDEA9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C4D-4B4C-822C-898C61BDEA9D}"/>
                </c:ext>
              </c:extLst>
            </c:dLbl>
            <c:dLbl>
              <c:idx val="13"/>
              <c:spPr>
                <a:solidFill>
                  <a:srgbClr val="33996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C4D-4B4C-822C-898C61BDEA9D}"/>
                </c:ext>
              </c:extLst>
            </c:dLbl>
            <c:dLbl>
              <c:idx val="14"/>
              <c:spPr>
                <a:solidFill>
                  <a:srgbClr val="00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1C4D-4B4C-822C-898C61BDEA9D}"/>
                </c:ext>
              </c:extLst>
            </c:dLbl>
            <c:dLbl>
              <c:idx val="15"/>
              <c:spPr>
                <a:solidFill>
                  <a:srgbClr val="FF99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C4D-4B4C-822C-898C61BDEA9D}"/>
                </c:ext>
              </c:extLst>
            </c:dLbl>
            <c:dLbl>
              <c:idx val="16"/>
              <c:spPr>
                <a:solidFill>
                  <a:srgbClr val="CC99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1C4D-4B4C-822C-898C61BDEA9D}"/>
                </c:ext>
              </c:extLst>
            </c:dLbl>
            <c:dLbl>
              <c:idx val="17"/>
              <c:spPr>
                <a:solidFill>
                  <a:srgbClr val="FF99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C4D-4B4C-822C-898C61BDEA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図2!$P$46:$AE$46</c:f>
              <c:strCache>
                <c:ptCount val="16"/>
                <c:pt idx="0">
                  <c:v> 総務費 1.96%</c:v>
                </c:pt>
                <c:pt idx="1">
                  <c:v>療養給付費・
療養費・移送費
54.45%</c:v>
                </c:pt>
                <c:pt idx="2">
                  <c:v> 高額療養費
7.74%</c:v>
                </c:pt>
                <c:pt idx="3">
                  <c:v>高額介護
合算療養費 0.01%</c:v>
                </c:pt>
                <c:pt idx="4">
                  <c:v> その他 0.47%</c:v>
                </c:pt>
                <c:pt idx="5">
                  <c:v>療養給付費・療養費
・移送費 %</c:v>
                </c:pt>
                <c:pt idx="6">
                  <c:v> 高額療養費 %</c:v>
                </c:pt>
                <c:pt idx="7">
                  <c:v>データなし</c:v>
                </c:pt>
                <c:pt idx="8">
                  <c:v> 審査支払手数料 0.25%</c:v>
                </c:pt>
                <c:pt idx="9">
                  <c:v>医療給付分
22.02%</c:v>
                </c:pt>
                <c:pt idx="10">
                  <c:v>後期高齢者分 7.34%</c:v>
                </c:pt>
                <c:pt idx="11">
                  <c:v>介護納付金分 3.37%</c:v>
                </c:pt>
                <c:pt idx="12">
                  <c:v>データなし</c:v>
                </c:pt>
                <c:pt idx="13">
                  <c:v> 保健事業費 0.83%</c:v>
                </c:pt>
                <c:pt idx="14">
                  <c:v>保険給付費等交付金償還金0.66%</c:v>
                </c:pt>
                <c:pt idx="15">
                  <c:v> その他の支出  1.56%</c:v>
                </c:pt>
              </c:strCache>
            </c:strRef>
          </c:cat>
          <c:val>
            <c:numRef>
              <c:f>図2!$P$47:$AE$47</c:f>
              <c:numCache>
                <c:formatCode>#,##0.0;[Red]\-#,##0.0</c:formatCode>
                <c:ptCount val="16"/>
                <c:pt idx="0">
                  <c:v>2</c:v>
                </c:pt>
                <c:pt idx="1">
                  <c:v>54.5</c:v>
                </c:pt>
                <c:pt idx="2">
                  <c:v>7.7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</c:v>
                </c:pt>
                <c:pt idx="9">
                  <c:v>22</c:v>
                </c:pt>
                <c:pt idx="10">
                  <c:v>7.3</c:v>
                </c:pt>
                <c:pt idx="11">
                  <c:v>3.4</c:v>
                </c:pt>
                <c:pt idx="12">
                  <c:v>0</c:v>
                </c:pt>
                <c:pt idx="13">
                  <c:v>0.8</c:v>
                </c:pt>
                <c:pt idx="14">
                  <c:v>0.7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C4D-4B4C-822C-898C61BD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9"/>
          <c:dPt>
            <c:idx val="0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4-1C4D-4B4C-822C-898C61BDEA9D}"/>
              </c:ext>
            </c:extLst>
          </c:dPt>
          <c:dPt>
            <c:idx val="1"/>
            <c:bubble3D val="0"/>
            <c:explosion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1C4D-4B4C-822C-898C61BDEA9D}"/>
              </c:ext>
            </c:extLst>
          </c:dPt>
          <c:dPt>
            <c:idx val="2"/>
            <c:bubble3D val="0"/>
            <c:explosion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1C4D-4B4C-822C-898C61BDEA9D}"/>
              </c:ext>
            </c:extLst>
          </c:dPt>
          <c:dPt>
            <c:idx val="3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A-1C4D-4B4C-822C-898C61BDEA9D}"/>
              </c:ext>
            </c:extLst>
          </c:dPt>
          <c:dPt>
            <c:idx val="4"/>
            <c:bubble3D val="0"/>
            <c:explosion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1C4D-4B4C-822C-898C61BDEA9D}"/>
              </c:ext>
            </c:extLst>
          </c:dPt>
          <c:dPt>
            <c:idx val="5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E-1C4D-4B4C-822C-898C61BDEA9D}"/>
              </c:ext>
            </c:extLst>
          </c:dPt>
          <c:dPt>
            <c:idx val="6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30-1C4D-4B4C-822C-898C61BDEA9D}"/>
              </c:ext>
            </c:extLst>
          </c:dPt>
          <c:dPt>
            <c:idx val="7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32-1C4D-4B4C-822C-898C61BDEA9D}"/>
              </c:ext>
            </c:extLst>
          </c:dPt>
          <c:dPt>
            <c:idx val="8"/>
            <c:bubble3D val="0"/>
            <c:explosion val="0"/>
            <c:spPr>
              <a:noFill/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4-1C4D-4B4C-822C-898C61BDEA9D}"/>
              </c:ext>
            </c:extLst>
          </c:dPt>
          <c:dPt>
            <c:idx val="9"/>
            <c:bubble3D val="0"/>
            <c:explosion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6-1C4D-4B4C-822C-898C61BDEA9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C4D-4B4C-822C-898C61BDEA9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C4D-4B4C-822C-898C61BDEA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C4D-4B4C-822C-898C61BDEA9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1C4D-4B4C-822C-898C61BDEA9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1C4D-4B4C-822C-898C61BDEA9D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1C4D-4B4C-822C-898C61BDEA9D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1C4D-4B4C-822C-898C61BDEA9D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1C4D-4B4C-822C-898C61BDEA9D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1C4D-4B4C-822C-898C61BDEA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図2!$P$41:$X$41</c:f>
              <c:strCache>
                <c:ptCount val="5"/>
                <c:pt idx="1">
                  <c:v>一般保険
給付費
62.67%</c:v>
                </c:pt>
                <c:pt idx="2">
                  <c:v> 退職保険給付費
%</c:v>
                </c:pt>
                <c:pt idx="4">
                  <c:v>国民健康保険
事業費納付金
32.74%</c:v>
                </c:pt>
              </c:strCache>
            </c:strRef>
          </c:cat>
          <c:val>
            <c:numRef>
              <c:f>図2!$P$42:$X$42</c:f>
              <c:numCache>
                <c:formatCode>#,##0.0;[Red]\-#,##0.0</c:formatCode>
                <c:ptCount val="9"/>
                <c:pt idx="0">
                  <c:v>2</c:v>
                </c:pt>
                <c:pt idx="1">
                  <c:v>62.7</c:v>
                </c:pt>
                <c:pt idx="2">
                  <c:v>0</c:v>
                </c:pt>
                <c:pt idx="3">
                  <c:v>0.3</c:v>
                </c:pt>
                <c:pt idx="4">
                  <c:v>32.700000000000003</c:v>
                </c:pt>
                <c:pt idx="5">
                  <c:v>0</c:v>
                </c:pt>
                <c:pt idx="6">
                  <c:v>0.8</c:v>
                </c:pt>
                <c:pt idx="7">
                  <c:v>0.7</c:v>
                </c:pt>
                <c:pt idx="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C4D-4B4C-822C-898C61BD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76300578034696"/>
          <c:y val="0.10905371707360208"/>
          <c:w val="0.5982658959537569"/>
          <c:h val="0.85185356355606101"/>
        </c:manualLayout>
      </c:layout>
      <c:pieChart>
        <c:varyColors val="1"/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F0-40D1-8D52-D37BB1E14A7A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F0-40D1-8D52-D37BB1E14A7A}"/>
              </c:ext>
            </c:extLst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F0-40D1-8D52-D37BB1E14A7A}"/>
              </c:ext>
            </c:extLst>
          </c:dPt>
          <c:dPt>
            <c:idx val="3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F0-40D1-8D52-D37BB1E14A7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F0-40D1-8D52-D37BB1E14A7A}"/>
              </c:ext>
            </c:extLst>
          </c:dPt>
          <c:dPt>
            <c:idx val="5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DF0-40D1-8D52-D37BB1E14A7A}"/>
              </c:ext>
            </c:extLst>
          </c:dPt>
          <c:dPt>
            <c:idx val="6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DF0-40D1-8D52-D37BB1E14A7A}"/>
              </c:ext>
            </c:extLst>
          </c:dPt>
          <c:dPt>
            <c:idx val="7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DF0-40D1-8D52-D37BB1E14A7A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DF0-40D1-8D52-D37BB1E14A7A}"/>
              </c:ext>
            </c:extLst>
          </c:dPt>
          <c:dPt>
            <c:idx val="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DF0-40D1-8D52-D37BB1E14A7A}"/>
              </c:ext>
            </c:extLst>
          </c:dPt>
          <c:dPt>
            <c:idx val="1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DF0-40D1-8D52-D37BB1E14A7A}"/>
              </c:ext>
            </c:extLst>
          </c:dPt>
          <c:dPt>
            <c:idx val="1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DF0-40D1-8D52-D37BB1E14A7A}"/>
              </c:ext>
            </c:extLst>
          </c:dPt>
          <c:dPt>
            <c:idx val="12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DF0-40D1-8D52-D37BB1E14A7A}"/>
              </c:ext>
            </c:extLst>
          </c:dPt>
          <c:dPt>
            <c:idx val="1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8DF0-40D1-8D52-D37BB1E14A7A}"/>
              </c:ext>
            </c:extLst>
          </c:dPt>
          <c:dPt>
            <c:idx val="1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8DF0-40D1-8D52-D37BB1E14A7A}"/>
              </c:ext>
            </c:extLst>
          </c:dPt>
          <c:dPt>
            <c:idx val="15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8DF0-40D1-8D52-D37BB1E14A7A}"/>
              </c:ext>
            </c:extLst>
          </c:dPt>
          <c:dLbls>
            <c:dLbl>
              <c:idx val="0"/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F0-40D1-8D52-D37BB1E14A7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DF0-40D1-8D52-D37BB1E14A7A}"/>
                </c:ext>
              </c:extLst>
            </c:dLbl>
            <c:dLbl>
              <c:idx val="2"/>
              <c:spPr>
                <a:solidFill>
                  <a:srgbClr val="CC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DF0-40D1-8D52-D37BB1E14A7A}"/>
                </c:ext>
              </c:extLst>
            </c:dLbl>
            <c:dLbl>
              <c:idx val="3"/>
              <c:spPr>
                <a:solidFill>
                  <a:srgbClr val="9999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DF0-40D1-8D52-D37BB1E14A7A}"/>
                </c:ext>
              </c:extLst>
            </c:dLbl>
            <c:dLbl>
              <c:idx val="4"/>
              <c:spPr>
                <a:solidFill>
                  <a:srgbClr val="FFCC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DF0-40D1-8D52-D37BB1E14A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F0-40D1-8D52-D37BB1E14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F0-40D1-8D52-D37BB1E14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F0-40D1-8D52-D37BB1E14A7A}"/>
                </c:ext>
              </c:extLst>
            </c:dLbl>
            <c:dLbl>
              <c:idx val="8"/>
              <c:spPr>
                <a:solidFill>
                  <a:srgbClr val="99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DF0-40D1-8D52-D37BB1E14A7A}"/>
                </c:ext>
              </c:extLst>
            </c:dLbl>
            <c:dLbl>
              <c:idx val="9"/>
              <c:spPr>
                <a:solidFill>
                  <a:srgbClr val="FFFF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DF0-40D1-8D52-D37BB1E14A7A}"/>
                </c:ext>
              </c:extLst>
            </c:dLbl>
            <c:dLbl>
              <c:idx val="10"/>
              <c:spPr>
                <a:solidFill>
                  <a:srgbClr val="FF808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DF0-40D1-8D52-D37BB1E14A7A}"/>
                </c:ext>
              </c:extLst>
            </c:dLbl>
            <c:dLbl>
              <c:idx val="11"/>
              <c:spPr>
                <a:solidFill>
                  <a:srgbClr val="99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DF0-40D1-8D52-D37BB1E14A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F0-40D1-8D52-D37BB1E14A7A}"/>
                </c:ext>
              </c:extLst>
            </c:dLbl>
            <c:dLbl>
              <c:idx val="13"/>
              <c:spPr>
                <a:solidFill>
                  <a:srgbClr val="33996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DF0-40D1-8D52-D37BB1E14A7A}"/>
                </c:ext>
              </c:extLst>
            </c:dLbl>
            <c:dLbl>
              <c:idx val="14"/>
              <c:spPr>
                <a:solidFill>
                  <a:srgbClr val="00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8DF0-40D1-8D52-D37BB1E14A7A}"/>
                </c:ext>
              </c:extLst>
            </c:dLbl>
            <c:dLbl>
              <c:idx val="15"/>
              <c:spPr>
                <a:solidFill>
                  <a:srgbClr val="FF99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8DF0-40D1-8D52-D37BB1E14A7A}"/>
                </c:ext>
              </c:extLst>
            </c:dLbl>
            <c:dLbl>
              <c:idx val="16"/>
              <c:spPr>
                <a:solidFill>
                  <a:srgbClr val="CC99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8DF0-40D1-8D52-D37BB1E14A7A}"/>
                </c:ext>
              </c:extLst>
            </c:dLbl>
            <c:dLbl>
              <c:idx val="17"/>
              <c:spPr>
                <a:solidFill>
                  <a:srgbClr val="FF99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DF0-40D1-8D52-D37BB1E14A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図2!$P$105:$AE$105</c:f>
              <c:strCache>
                <c:ptCount val="16"/>
                <c:pt idx="0">
                  <c:v> 総務費 1.36%</c:v>
                </c:pt>
                <c:pt idx="1">
                  <c:v>療養給付費・
療養費・移送費
56.65%</c:v>
                </c:pt>
                <c:pt idx="2">
                  <c:v> 高額療養費
8.12%</c:v>
                </c:pt>
                <c:pt idx="3">
                  <c:v>高額介護
合算療養費 0.01%</c:v>
                </c:pt>
                <c:pt idx="4">
                  <c:v> その他 0.43%</c:v>
                </c:pt>
                <c:pt idx="5">
                  <c:v>療養給付費・療養費
・移送費%</c:v>
                </c:pt>
                <c:pt idx="6">
                  <c:v> 高額療養費 %</c:v>
                </c:pt>
                <c:pt idx="7">
                  <c:v>データなし</c:v>
                </c:pt>
                <c:pt idx="8">
                  <c:v> 審査支払手数料 0.27%</c:v>
                </c:pt>
                <c:pt idx="9">
                  <c:v>医療給付分
20.26%</c:v>
                </c:pt>
                <c:pt idx="10">
                  <c:v>後期高齢者分 7.09%</c:v>
                </c:pt>
                <c:pt idx="11">
                  <c:v>介護納付金分 2.98%</c:v>
                </c:pt>
                <c:pt idx="12">
                  <c:v>データなし</c:v>
                </c:pt>
                <c:pt idx="13">
                  <c:v> 保健事業費 1.12%</c:v>
                </c:pt>
                <c:pt idx="14">
                  <c:v>保険給付費等交付金
償還金事業拠出金
0.95%</c:v>
                </c:pt>
                <c:pt idx="15">
                  <c:v> その他の支出 1.72%</c:v>
                </c:pt>
              </c:strCache>
            </c:strRef>
          </c:cat>
          <c:val>
            <c:numRef>
              <c:f>図2!$P$106:$AE$106</c:f>
              <c:numCache>
                <c:formatCode>#,##0.0;[Red]\-#,##0.0</c:formatCode>
                <c:ptCount val="16"/>
                <c:pt idx="0">
                  <c:v>1.4</c:v>
                </c:pt>
                <c:pt idx="1">
                  <c:v>56.7</c:v>
                </c:pt>
                <c:pt idx="2">
                  <c:v>8.1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</c:v>
                </c:pt>
                <c:pt idx="9">
                  <c:v>20.3</c:v>
                </c:pt>
                <c:pt idx="10">
                  <c:v>7.1</c:v>
                </c:pt>
                <c:pt idx="11">
                  <c:v>3</c:v>
                </c:pt>
                <c:pt idx="12">
                  <c:v>0</c:v>
                </c:pt>
                <c:pt idx="13">
                  <c:v>1.1000000000000001</c:v>
                </c:pt>
                <c:pt idx="14">
                  <c:v>1</c:v>
                </c:pt>
                <c:pt idx="1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DF0-40D1-8D52-D37BB1E1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9"/>
          <c:dPt>
            <c:idx val="0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4-8DF0-40D1-8D52-D37BB1E14A7A}"/>
              </c:ext>
            </c:extLst>
          </c:dPt>
          <c:dPt>
            <c:idx val="1"/>
            <c:bubble3D val="0"/>
            <c:explosion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8DF0-40D1-8D52-D37BB1E14A7A}"/>
              </c:ext>
            </c:extLst>
          </c:dPt>
          <c:dPt>
            <c:idx val="2"/>
            <c:bubble3D val="0"/>
            <c:explosion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8DF0-40D1-8D52-D37BB1E14A7A}"/>
              </c:ext>
            </c:extLst>
          </c:dPt>
          <c:dPt>
            <c:idx val="3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A-8DF0-40D1-8D52-D37BB1E14A7A}"/>
              </c:ext>
            </c:extLst>
          </c:dPt>
          <c:dPt>
            <c:idx val="4"/>
            <c:bubble3D val="0"/>
            <c:explosion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8DF0-40D1-8D52-D37BB1E14A7A}"/>
              </c:ext>
            </c:extLst>
          </c:dPt>
          <c:dPt>
            <c:idx val="5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E-8DF0-40D1-8D52-D37BB1E14A7A}"/>
              </c:ext>
            </c:extLst>
          </c:dPt>
          <c:dPt>
            <c:idx val="6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30-8DF0-40D1-8D52-D37BB1E14A7A}"/>
              </c:ext>
            </c:extLst>
          </c:dPt>
          <c:dPt>
            <c:idx val="7"/>
            <c:bubble3D val="0"/>
            <c:explosion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32-8DF0-40D1-8D52-D37BB1E14A7A}"/>
              </c:ext>
            </c:extLst>
          </c:dPt>
          <c:dPt>
            <c:idx val="8"/>
            <c:bubble3D val="0"/>
            <c:explosion val="0"/>
            <c:spPr>
              <a:noFill/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4-8DF0-40D1-8D52-D37BB1E14A7A}"/>
              </c:ext>
            </c:extLst>
          </c:dPt>
          <c:dPt>
            <c:idx val="9"/>
            <c:bubble3D val="0"/>
            <c:explosion val="0"/>
            <c:spPr>
              <a:noFill/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6-8DF0-40D1-8D52-D37BB1E14A7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8DF0-40D1-8D52-D37BB1E14A7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8DF0-40D1-8D52-D37BB1E14A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DF0-40D1-8D52-D37BB1E14A7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8DF0-40D1-8D52-D37BB1E14A7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8DF0-40D1-8D52-D37BB1E14A7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8DF0-40D1-8D52-D37BB1E14A7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8DF0-40D1-8D52-D37BB1E14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DF0-40D1-8D52-D37BB1E14A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DF0-40D1-8D52-D37BB1E14A7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8DF0-40D1-8D52-D37BB1E14A7A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8DF0-40D1-8D52-D37BB1E14A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図2!$P$100:$X$100</c:f>
              <c:strCache>
                <c:ptCount val="9"/>
                <c:pt idx="1">
                  <c:v>一般保険
給付費
65.20%</c:v>
                </c:pt>
                <c:pt idx="2">
                  <c:v> 退職保険給付費
%</c:v>
                </c:pt>
                <c:pt idx="4">
                  <c:v>国民健康保険
事業費納付金
30.33%</c:v>
                </c:pt>
                <c:pt idx="7">
                  <c:v>保険給付費等交付金償還金0.95%</c:v>
                </c:pt>
                <c:pt idx="8">
                  <c:v>その他の支出 1.72%</c:v>
                </c:pt>
              </c:strCache>
            </c:strRef>
          </c:cat>
          <c:val>
            <c:numRef>
              <c:f>図2!$P$101:$X$101</c:f>
              <c:numCache>
                <c:formatCode>#,##0.0;[Red]\-#,##0.0</c:formatCode>
                <c:ptCount val="9"/>
                <c:pt idx="0">
                  <c:v>1.4</c:v>
                </c:pt>
                <c:pt idx="1">
                  <c:v>65.2</c:v>
                </c:pt>
                <c:pt idx="2">
                  <c:v>0</c:v>
                </c:pt>
                <c:pt idx="3">
                  <c:v>0.3</c:v>
                </c:pt>
                <c:pt idx="4">
                  <c:v>30.3</c:v>
                </c:pt>
                <c:pt idx="5">
                  <c:v>0</c:v>
                </c:pt>
                <c:pt idx="6">
                  <c:v>1.1000000000000001</c:v>
                </c:pt>
                <c:pt idx="7">
                  <c:v>1</c:v>
                </c:pt>
                <c:pt idx="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DF0-40D1-8D52-D37BB1E1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197892092282"/>
          <c:y val="9.9206765820939055E-2"/>
          <c:w val="0.78210191028346021"/>
          <c:h val="0.79762059310785804"/>
        </c:manualLayout>
      </c:layout>
      <c:pieChart>
        <c:varyColors val="1"/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CF-493C-95EF-CD935278B5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CF-493C-95EF-CD935278B5E7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CF-493C-95EF-CD935278B5E7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CF-493C-95EF-CD935278B5E7}"/>
              </c:ext>
            </c:extLst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5CF-493C-95EF-CD935278B5E7}"/>
              </c:ext>
            </c:extLst>
          </c:dPt>
          <c:dPt>
            <c:idx val="5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5CF-493C-95EF-CD935278B5E7}"/>
              </c:ext>
            </c:extLst>
          </c:dPt>
          <c:dPt>
            <c:idx val="6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5CF-493C-95EF-CD935278B5E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CF-493C-95EF-CD935278B5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F-493C-95EF-CD935278B5E7}"/>
                </c:ext>
              </c:extLst>
            </c:dLbl>
            <c:dLbl>
              <c:idx val="2"/>
              <c:spPr>
                <a:solidFill>
                  <a:srgbClr val="CC99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5CF-493C-95EF-CD935278B5E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CF-493C-95EF-CD935278B5E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5CF-493C-95EF-CD935278B5E7}"/>
                </c:ext>
              </c:extLst>
            </c:dLbl>
            <c:dLbl>
              <c:idx val="6"/>
              <c:spPr>
                <a:solidFill>
                  <a:srgbClr val="FF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5CF-493C-95EF-CD935278B5E7}"/>
                </c:ext>
              </c:extLst>
            </c:dLbl>
            <c:dLbl>
              <c:idx val="7"/>
              <c:spPr>
                <a:solidFill>
                  <a:srgbClr val="00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5CF-493C-95EF-CD935278B5E7}"/>
                </c:ext>
              </c:extLst>
            </c:dLbl>
            <c:dLbl>
              <c:idx val="10"/>
              <c:spPr>
                <a:solidFill>
                  <a:srgbClr val="FF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5CF-493C-95EF-CD935278B5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図2!$P$79:$V$79</c:f>
              <c:strCache>
                <c:ptCount val="7"/>
                <c:pt idx="0">
                  <c:v> 一般
被保険者分
20.01%</c:v>
                </c:pt>
                <c:pt idx="1">
                  <c:v>退職
被保険者等分
%</c:v>
                </c:pt>
                <c:pt idx="2">
                  <c:v>国庫支出金 0.09%</c:v>
                </c:pt>
                <c:pt idx="3">
                  <c:v>都道府県支出金66.82%</c:v>
                </c:pt>
                <c:pt idx="5">
                  <c:v>一般会計繰入金11.04%</c:v>
                </c:pt>
                <c:pt idx="6">
                  <c:v> その他 2.03%</c:v>
                </c:pt>
              </c:strCache>
            </c:strRef>
          </c:cat>
          <c:val>
            <c:numRef>
              <c:f>図2!$P$80:$V$80</c:f>
              <c:numCache>
                <c:formatCode>#,##0.0;[Red]\-#,##0.0</c:formatCode>
                <c:ptCount val="7"/>
                <c:pt idx="0">
                  <c:v>20</c:v>
                </c:pt>
                <c:pt idx="1">
                  <c:v>0</c:v>
                </c:pt>
                <c:pt idx="2">
                  <c:v>0.1</c:v>
                </c:pt>
                <c:pt idx="3">
                  <c:v>66.8</c:v>
                </c:pt>
                <c:pt idx="4">
                  <c:v>0</c:v>
                </c:pt>
                <c:pt idx="5">
                  <c:v>11</c:v>
                </c:pt>
                <c:pt idx="6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5CF-493C-95EF-CD935278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spPr>
            <a:noFill/>
            <a:ln>
              <a:noFill/>
            </a:ln>
          </c:spPr>
          <c:explosion val="66"/>
          <c:dPt>
            <c:idx val="0"/>
            <c:bubble3D val="0"/>
            <c:explosion val="0"/>
            <c:spPr>
              <a:solidFill>
                <a:srgbClr val="C0C0C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65CF-493C-95EF-CD935278B5E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14-65CF-493C-95EF-CD935278B5E7}"/>
              </c:ext>
            </c:extLst>
          </c:dPt>
          <c:dPt>
            <c:idx val="2"/>
            <c:bubble3D val="0"/>
            <c:explosion val="0"/>
            <c:extLst>
              <c:ext xmlns:c16="http://schemas.microsoft.com/office/drawing/2014/chart" uri="{C3380CC4-5D6E-409C-BE32-E72D297353CC}">
                <c16:uniqueId val="{00000016-65CF-493C-95EF-CD935278B5E7}"/>
              </c:ext>
            </c:extLst>
          </c:dPt>
          <c:dPt>
            <c:idx val="3"/>
            <c:bubble3D val="0"/>
            <c:explosion val="0"/>
            <c:extLst>
              <c:ext xmlns:c16="http://schemas.microsoft.com/office/drawing/2014/chart" uri="{C3380CC4-5D6E-409C-BE32-E72D297353CC}">
                <c16:uniqueId val="{00000018-65CF-493C-95EF-CD935278B5E7}"/>
              </c:ext>
            </c:extLst>
          </c:dPt>
          <c:dPt>
            <c:idx val="4"/>
            <c:bubble3D val="0"/>
            <c:explosion val="0"/>
            <c:extLst>
              <c:ext xmlns:c16="http://schemas.microsoft.com/office/drawing/2014/chart" uri="{C3380CC4-5D6E-409C-BE32-E72D297353CC}">
                <c16:uniqueId val="{0000001A-65CF-493C-95EF-CD935278B5E7}"/>
              </c:ext>
            </c:extLst>
          </c:dPt>
          <c:dPt>
            <c:idx val="5"/>
            <c:bubble3D val="0"/>
            <c:explosion val="0"/>
            <c:extLst>
              <c:ext xmlns:c16="http://schemas.microsoft.com/office/drawing/2014/chart" uri="{C3380CC4-5D6E-409C-BE32-E72D297353CC}">
                <c16:uniqueId val="{0000001C-65CF-493C-95EF-CD935278B5E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5CF-493C-95EF-CD935278B5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CF-493C-95EF-CD935278B5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CF-493C-95EF-CD935278B5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5CF-493C-95EF-CD935278B5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図2!$P$74:$U$74</c:f>
              <c:strCache>
                <c:ptCount val="6"/>
                <c:pt idx="0">
                  <c:v>保険料 
20.01%</c:v>
                </c:pt>
                <c:pt idx="2">
                  <c:v>都道府県支出金66.82%</c:v>
                </c:pt>
                <c:pt idx="4">
                  <c:v>一般会計
繰入金
11.04%</c:v>
                </c:pt>
                <c:pt idx="5">
                  <c:v> その他 2.03%</c:v>
                </c:pt>
              </c:strCache>
            </c:strRef>
          </c:cat>
          <c:val>
            <c:numRef>
              <c:f>図2!$P$75:$U$75</c:f>
              <c:numCache>
                <c:formatCode>#,##0.0;[Red]\-#,##0.0</c:formatCode>
                <c:ptCount val="6"/>
                <c:pt idx="0">
                  <c:v>20</c:v>
                </c:pt>
                <c:pt idx="1">
                  <c:v>0.1</c:v>
                </c:pt>
                <c:pt idx="2">
                  <c:v>66.8</c:v>
                </c:pt>
                <c:pt idx="3">
                  <c:v>0</c:v>
                </c:pt>
                <c:pt idx="4">
                  <c:v>11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5CF-493C-95EF-CD935278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696954505586"/>
          <c:y val="0.13545829908714677"/>
          <c:w val="0.78850181727033464"/>
          <c:h val="0.7649409830803576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79-436B-A19E-C26F0136738D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79-436B-A19E-C26F0136738D}"/>
              </c:ext>
            </c:extLst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79-436B-A19E-C26F0136738D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79-436B-A19E-C26F0136738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279-436B-A19E-C26F0136738D}"/>
              </c:ext>
            </c:extLst>
          </c:dPt>
          <c:dPt>
            <c:idx val="5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279-436B-A19E-C26F0136738D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279-436B-A19E-C26F0136738D}"/>
                </c:ext>
              </c:extLst>
            </c:dLbl>
            <c:dLbl>
              <c:idx val="2"/>
              <c:spPr>
                <a:solidFill>
                  <a:srgbClr val="CC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279-436B-A19E-C26F0136738D}"/>
                </c:ext>
              </c:extLst>
            </c:dLbl>
            <c:dLbl>
              <c:idx val="3"/>
              <c:spPr>
                <a:solidFill>
                  <a:srgbClr val="FFFF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279-436B-A19E-C26F0136738D}"/>
                </c:ext>
              </c:extLst>
            </c:dLbl>
            <c:dLbl>
              <c:idx val="4"/>
              <c:layout>
                <c:manualLayout>
                  <c:x val="7.116800252119021E-2"/>
                  <c:y val="-7.4046808020470797E-2"/>
                </c:manualLayout>
              </c:layout>
              <c:spPr>
                <a:solidFill>
                  <a:srgbClr val="FFCC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9-436B-A19E-C26F0136738D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279-436B-A19E-C26F0136738D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279-436B-A19E-C26F013673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図2!$P$133:$U$133</c:f>
              <c:strCache>
                <c:ptCount val="6"/>
                <c:pt idx="0">
                  <c:v> 保険料 61.95%</c:v>
                </c:pt>
                <c:pt idx="1">
                  <c:v>国庫支出金 24.31%</c:v>
                </c:pt>
                <c:pt idx="2">
                  <c:v>前期高齢者
交付金
0.29%</c:v>
                </c:pt>
                <c:pt idx="3">
                  <c:v>都支出金 0.95%</c:v>
                </c:pt>
                <c:pt idx="4">
                  <c:v>高額医療費
共同事業交付金_x000d_1.26%</c:v>
                </c:pt>
                <c:pt idx="5">
                  <c:v> その他
11.24%</c:v>
                </c:pt>
              </c:strCache>
            </c:strRef>
          </c:cat>
          <c:val>
            <c:numRef>
              <c:f>図2!$P$134:$U$134</c:f>
              <c:numCache>
                <c:formatCode>#,##0.0;[Red]\-#,##0.0</c:formatCode>
                <c:ptCount val="6"/>
                <c:pt idx="0">
                  <c:v>62</c:v>
                </c:pt>
                <c:pt idx="1">
                  <c:v>24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279-436B-A19E-C26F0136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92888243831648"/>
          <c:y val="0.17177948415828742"/>
          <c:w val="0.54281567489114668"/>
          <c:h val="0.76482770327618466"/>
        </c:manualLayout>
      </c:layout>
      <c:pieChart>
        <c:varyColors val="1"/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F2-4D53-88A7-6596B613F9D8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F2-4D53-88A7-6596B613F9D8}"/>
              </c:ext>
            </c:extLst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F2-4D53-88A7-6596B613F9D8}"/>
              </c:ext>
            </c:extLst>
          </c:dPt>
          <c:dPt>
            <c:idx val="3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F2-4D53-88A7-6596B613F9D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F2-4D53-88A7-6596B613F9D8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3F2-4D53-88A7-6596B613F9D8}"/>
              </c:ext>
            </c:extLst>
          </c:dPt>
          <c:dPt>
            <c:idx val="6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3F2-4D53-88A7-6596B613F9D8}"/>
              </c:ext>
            </c:extLst>
          </c:dPt>
          <c:dPt>
            <c:idx val="7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3F2-4D53-88A7-6596B613F9D8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3F2-4D53-88A7-6596B613F9D8}"/>
              </c:ext>
            </c:extLst>
          </c:dPt>
          <c:dPt>
            <c:idx val="9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3F2-4D53-88A7-6596B613F9D8}"/>
              </c:ext>
            </c:extLst>
          </c:dPt>
          <c:dPt>
            <c:idx val="1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3F2-4D53-88A7-6596B613F9D8}"/>
              </c:ext>
            </c:extLst>
          </c:dPt>
          <c:dPt>
            <c:idx val="11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3F2-4D53-88A7-6596B613F9D8}"/>
              </c:ext>
            </c:extLst>
          </c:dPt>
          <c:dLbls>
            <c:dLbl>
              <c:idx val="0"/>
              <c:spPr>
                <a:solidFill>
                  <a:srgbClr val="C0C0C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3F2-4D53-88A7-6596B613F9D8}"/>
                </c:ext>
              </c:extLst>
            </c:dLbl>
            <c:dLbl>
              <c:idx val="1"/>
              <c:layout>
                <c:manualLayout>
                  <c:x val="-0.14602698905061121"/>
                  <c:y val="-3.43513878946949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2-4D53-88A7-6596B613F9D8}"/>
                </c:ext>
              </c:extLst>
            </c:dLbl>
            <c:dLbl>
              <c:idx val="2"/>
              <c:spPr>
                <a:solidFill>
                  <a:srgbClr val="CC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F2-4D53-88A7-6596B613F9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F2-4D53-88A7-6596B613F9D8}"/>
                </c:ext>
              </c:extLst>
            </c:dLbl>
            <c:dLbl>
              <c:idx val="4"/>
              <c:spPr>
                <a:solidFill>
                  <a:srgbClr val="FFCC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3F2-4D53-88A7-6596B613F9D8}"/>
                </c:ext>
              </c:extLst>
            </c:dLbl>
            <c:dLbl>
              <c:idx val="5"/>
              <c:spPr>
                <a:solidFill>
                  <a:srgbClr val="99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3F2-4D53-88A7-6596B613F9D8}"/>
                </c:ext>
              </c:extLst>
            </c:dLbl>
            <c:dLbl>
              <c:idx val="6"/>
              <c:spPr>
                <a:solidFill>
                  <a:srgbClr val="FF808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3F2-4D53-88A7-6596B613F9D8}"/>
                </c:ext>
              </c:extLst>
            </c:dLbl>
            <c:dLbl>
              <c:idx val="7"/>
              <c:spPr>
                <a:solidFill>
                  <a:srgbClr val="FFFF99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3F2-4D53-88A7-6596B613F9D8}"/>
                </c:ext>
              </c:extLst>
            </c:dLbl>
            <c:dLbl>
              <c:idx val="8"/>
              <c:spPr>
                <a:solidFill>
                  <a:srgbClr val="99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3F2-4D53-88A7-6596B613F9D8}"/>
                </c:ext>
              </c:extLst>
            </c:dLbl>
            <c:dLbl>
              <c:idx val="9"/>
              <c:spPr>
                <a:solidFill>
                  <a:srgbClr val="00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3F2-4D53-88A7-6596B613F9D8}"/>
                </c:ext>
              </c:extLst>
            </c:dLbl>
            <c:dLbl>
              <c:idx val="10"/>
              <c:spPr>
                <a:solidFill>
                  <a:srgbClr val="33996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3F2-4D53-88A7-6596B613F9D8}"/>
                </c:ext>
              </c:extLst>
            </c:dLbl>
            <c:dLbl>
              <c:idx val="11"/>
              <c:spPr>
                <a:solidFill>
                  <a:srgbClr val="FF99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3F2-4D53-88A7-6596B613F9D8}"/>
                </c:ext>
              </c:extLst>
            </c:dLbl>
            <c:dLbl>
              <c:idx val="12"/>
              <c:spPr>
                <a:solidFill>
                  <a:srgbClr val="CC99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3F2-4D53-88A7-6596B613F9D8}"/>
                </c:ext>
              </c:extLst>
            </c:dLbl>
            <c:dLbl>
              <c:idx val="13"/>
              <c:spPr>
                <a:solidFill>
                  <a:srgbClr val="FF99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A3F2-4D53-88A7-6596B613F9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図2!$P$164:$AA$164</c:f>
              <c:strCache>
                <c:ptCount val="12"/>
                <c:pt idx="0">
                  <c:v> 総務費 3.63%</c:v>
                </c:pt>
                <c:pt idx="1">
                  <c:v> 療養給付費・
 療養費・移送費
45.23%</c:v>
                </c:pt>
                <c:pt idx="2">
                  <c:v> 高額療養費
4.55%</c:v>
                </c:pt>
                <c:pt idx="3">
                  <c:v>データなし</c:v>
                </c:pt>
                <c:pt idx="4">
                  <c:v> その他 2.65%</c:v>
                </c:pt>
                <c:pt idx="5">
                  <c:v> 審査支払手数料 0.30%</c:v>
                </c:pt>
                <c:pt idx="6">
                  <c:v> 後期高齢者支援金等
20.10%</c:v>
                </c:pt>
                <c:pt idx="7">
                  <c:v> 前期高齢者
  納付金等
8.18%</c:v>
                </c:pt>
                <c:pt idx="8">
                  <c:v> 介護納付金
10.07%</c:v>
                </c:pt>
                <c:pt idx="9">
                  <c:v> 高額医療費
共同事業拠出金
1.39%</c:v>
                </c:pt>
                <c:pt idx="10">
                  <c:v> 保健事業費 2.24%</c:v>
                </c:pt>
                <c:pt idx="11">
                  <c:v> その他の支出  1.66%</c:v>
                </c:pt>
              </c:strCache>
            </c:strRef>
          </c:cat>
          <c:val>
            <c:numRef>
              <c:f>図2!$P$165:$AA$165</c:f>
              <c:numCache>
                <c:formatCode>#,##0.0;[Red]\-#,##0.0</c:formatCode>
                <c:ptCount val="12"/>
                <c:pt idx="0">
                  <c:v>4</c:v>
                </c:pt>
                <c:pt idx="1">
                  <c:v>44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20</c:v>
                </c:pt>
                <c:pt idx="7">
                  <c:v>8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3F2-4D53-88A7-6596B613F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84"/>
          <c:dPt>
            <c:idx val="0"/>
            <c:bubble3D val="0"/>
            <c:explosion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A3F2-4D53-88A7-6596B613F9D8}"/>
              </c:ext>
            </c:extLst>
          </c:dPt>
          <c:dPt>
            <c:idx val="1"/>
            <c:bubble3D val="0"/>
            <c:explosion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3F2-4D53-88A7-6596B613F9D8}"/>
              </c:ext>
            </c:extLst>
          </c:dPt>
          <c:dPt>
            <c:idx val="2"/>
            <c:bubble3D val="0"/>
            <c:explosion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A3F2-4D53-88A7-6596B613F9D8}"/>
              </c:ext>
            </c:extLst>
          </c:dPt>
          <c:dPt>
            <c:idx val="3"/>
            <c:bubble3D val="0"/>
            <c:explosion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A3F2-4D53-88A7-6596B613F9D8}"/>
              </c:ext>
            </c:extLst>
          </c:dPt>
          <c:dPt>
            <c:idx val="4"/>
            <c:bubble3D val="0"/>
            <c:explosion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A3F2-4D53-88A7-6596B613F9D8}"/>
              </c:ext>
            </c:extLst>
          </c:dPt>
          <c:dPt>
            <c:idx val="5"/>
            <c:bubble3D val="0"/>
            <c:explosion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A3F2-4D53-88A7-6596B613F9D8}"/>
              </c:ext>
            </c:extLst>
          </c:dPt>
          <c:dPt>
            <c:idx val="6"/>
            <c:bubble3D val="0"/>
            <c:explosion val="2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A3F2-4D53-88A7-6596B613F9D8}"/>
              </c:ext>
            </c:extLst>
          </c:dPt>
          <c:dPt>
            <c:idx val="7"/>
            <c:bubble3D val="0"/>
            <c:explosion val="0"/>
            <c:spPr>
              <a:noFill/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A3F2-4D53-88A7-6596B613F9D8}"/>
              </c:ext>
            </c:extLst>
          </c:dPt>
          <c:dPt>
            <c:idx val="8"/>
            <c:bubble3D val="0"/>
            <c:explosion val="0"/>
            <c:spPr>
              <a:noFill/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A3F2-4D53-88A7-6596B613F9D8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A3F2-4D53-88A7-6596B613F9D8}"/>
                </c:ext>
              </c:extLst>
            </c:dLbl>
            <c:dLbl>
              <c:idx val="7"/>
              <c:spPr>
                <a:solidFill>
                  <a:srgbClr val="FF99CC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spc="-1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A3F2-4D53-88A7-6596B613F9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spc="-1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図2!$P$159:$X$159</c:f>
              <c:strCache>
                <c:ptCount val="2"/>
                <c:pt idx="1">
                  <c:v>一般保険
給付費
52.43%</c:v>
                </c:pt>
              </c:strCache>
            </c:strRef>
          </c:cat>
          <c:val>
            <c:numRef>
              <c:f>図2!$P$160:$X$160</c:f>
              <c:numCache>
                <c:formatCode>#,##0.0;[Red]\-#,##0.0</c:formatCode>
                <c:ptCount val="9"/>
                <c:pt idx="0">
                  <c:v>4</c:v>
                </c:pt>
                <c:pt idx="1">
                  <c:v>52</c:v>
                </c:pt>
                <c:pt idx="2">
                  <c:v>1</c:v>
                </c:pt>
                <c:pt idx="3">
                  <c:v>20</c:v>
                </c:pt>
                <c:pt idx="4">
                  <c:v>8</c:v>
                </c:pt>
                <c:pt idx="5">
                  <c:v>10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3F2-4D53-88A7-6596B613F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＜ 市町村 ＞</a:t>
            </a:r>
          </a:p>
        </c:rich>
      </c:tx>
      <c:layout>
        <c:manualLayout>
          <c:xMode val="edge"/>
          <c:yMode val="edge"/>
          <c:x val="7.142872765904261E-2"/>
          <c:y val="1.111022738319326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6187976502943E-2"/>
          <c:y val="0.18333403324584435"/>
          <c:w val="0.84771950381202354"/>
          <c:h val="0.783335783027121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図3!$N$14</c:f>
              <c:strCache>
                <c:ptCount val="1"/>
                <c:pt idx="0">
                  <c:v>保険料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図3!$N$15:$N$19</c:f>
              <c:numCache>
                <c:formatCode>#,##0.0_ ;[Red]\-#,##0.0\ </c:formatCode>
                <c:ptCount val="5"/>
                <c:pt idx="0">
                  <c:v>17.5</c:v>
                </c:pt>
                <c:pt idx="1">
                  <c:v>19.899999999999999</c:v>
                </c:pt>
                <c:pt idx="2">
                  <c:v>20</c:v>
                </c:pt>
                <c:pt idx="3">
                  <c:v>20.7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DCC-9478-F8848BC2E928}"/>
            </c:ext>
          </c:extLst>
        </c:ser>
        <c:ser>
          <c:idx val="1"/>
          <c:order val="1"/>
          <c:tx>
            <c:strRef>
              <c:f>図3!$O$14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図3!$O$15:$O$19</c:f>
              <c:numCache>
                <c:formatCode>#,##0.0_ ;[Red]\-#,##0.0\ </c:formatCode>
                <c:ptCount val="5"/>
                <c:pt idx="0">
                  <c:v>19.3</c:v>
                </c:pt>
                <c:pt idx="1">
                  <c:v>0</c:v>
                </c:pt>
                <c:pt idx="2">
                  <c:v>0</c:v>
                </c:pt>
                <c:pt idx="3">
                  <c:v>0.3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DCC-9478-F8848BC2E928}"/>
            </c:ext>
          </c:extLst>
        </c:ser>
        <c:ser>
          <c:idx val="2"/>
          <c:order val="2"/>
          <c:tx>
            <c:strRef>
              <c:f>図3!$P$14</c:f>
              <c:strCache>
                <c:ptCount val="1"/>
                <c:pt idx="0">
                  <c:v>療養給付費交付金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7.9365079365079361E-3"/>
                  <c:y val="0"/>
                </c:manualLayout>
              </c:layout>
              <c:numFmt formatCode="0.0_ ;[Red]\-0.0\ ;;@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96-4DCC-9478-F8848BC2E928}"/>
                </c:ext>
              </c:extLst>
            </c:dLbl>
            <c:numFmt formatCode="0.0_ ;[Red]\-0.0\ ;;@" sourceLinked="0"/>
            <c:spPr>
              <a:solidFill>
                <a:sysClr val="window" lastClr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図3!$P$15:$P$19</c:f>
              <c:numCache>
                <c:formatCode>#,##0.0_ ;[Red]\-#,##0.0\ </c:formatCode>
                <c:ptCount val="5"/>
                <c:pt idx="0">
                  <c:v>0.9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DCC-9478-F8848BC2E928}"/>
            </c:ext>
          </c:extLst>
        </c:ser>
        <c:ser>
          <c:idx val="3"/>
          <c:order val="3"/>
          <c:tx>
            <c:strRef>
              <c:f>図3!$Q$14</c:f>
              <c:strCache>
                <c:ptCount val="1"/>
                <c:pt idx="0">
                  <c:v>都支出金</c:v>
                </c:pt>
              </c:strCache>
            </c:strRef>
          </c:tx>
          <c:spPr>
            <a:pattFill prst="dkDnDiag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図3!$Q$15:$Q$19</c:f>
              <c:numCache>
                <c:formatCode>#,##0.0_ ;[Red]\-#,##0.0\ </c:formatCode>
                <c:ptCount val="5"/>
                <c:pt idx="0">
                  <c:v>5.9</c:v>
                </c:pt>
                <c:pt idx="1">
                  <c:v>65.099999999999994</c:v>
                </c:pt>
                <c:pt idx="2">
                  <c:v>66.3</c:v>
                </c:pt>
                <c:pt idx="3">
                  <c:v>65.7</c:v>
                </c:pt>
                <c:pt idx="4">
                  <c:v>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DCC-9478-F8848BC2E928}"/>
            </c:ext>
          </c:extLst>
        </c:ser>
        <c:ser>
          <c:idx val="4"/>
          <c:order val="4"/>
          <c:tx>
            <c:strRef>
              <c:f>図3!$R$14</c:f>
              <c:strCache>
                <c:ptCount val="1"/>
                <c:pt idx="0">
                  <c:v>一般会計繰入金</c:v>
                </c:pt>
              </c:strCache>
            </c:strRef>
          </c:tx>
          <c:spPr>
            <a:pattFill prst="lt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図3!$R$15:$R$19</c:f>
              <c:numCache>
                <c:formatCode>#,##0.0_ ;[Red]\-#,##0.0\ </c:formatCode>
                <c:ptCount val="5"/>
                <c:pt idx="0">
                  <c:v>10.5</c:v>
                </c:pt>
                <c:pt idx="1">
                  <c:v>11.8</c:v>
                </c:pt>
                <c:pt idx="2">
                  <c:v>11.7</c:v>
                </c:pt>
                <c:pt idx="3">
                  <c:v>11.5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DCC-9478-F8848BC2E928}"/>
            </c:ext>
          </c:extLst>
        </c:ser>
        <c:ser>
          <c:idx val="5"/>
          <c:order val="5"/>
          <c:tx>
            <c:strRef>
              <c:f>図3!$S$14</c:f>
              <c:strCache>
                <c:ptCount val="1"/>
                <c:pt idx="0">
                  <c:v>共同事業交付金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図3!$S$15:$S$19</c:f>
              <c:numCache>
                <c:formatCode>#,##0.0_ ;[Red]\-#,##0.0\ 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DCC-9478-F8848BC2E928}"/>
            </c:ext>
          </c:extLst>
        </c:ser>
        <c:ser>
          <c:idx val="6"/>
          <c:order val="6"/>
          <c:tx>
            <c:strRef>
              <c:f>図3!$T$14</c:f>
              <c:strCache>
                <c:ptCount val="1"/>
                <c:pt idx="0">
                  <c:v>前期高齢者交付金</c:v>
                </c:pt>
              </c:strCache>
            </c:strRef>
          </c:tx>
          <c:spPr>
            <a:pattFill prst="smGri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_ ;[Red]\-0.0\ ;;@" sourceLinked="0"/>
            <c:spPr>
              <a:solidFill>
                <a:schemeClr val="bg1"/>
              </a:solidFill>
              <a:ln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図3!$T$15:$T$19</c:f>
              <c:numCache>
                <c:formatCode>#,##0.0_ ;[Red]\-#,##0.0\ </c:formatCode>
                <c:ptCount val="5"/>
                <c:pt idx="0">
                  <c:v>21.9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DCC-9478-F8848BC2E928}"/>
            </c:ext>
          </c:extLst>
        </c:ser>
        <c:ser>
          <c:idx val="7"/>
          <c:order val="7"/>
          <c:tx>
            <c:strRef>
              <c:f>図3!$U$14</c:f>
              <c:strCache>
                <c:ptCount val="1"/>
                <c:pt idx="0">
                  <c:v>その他収入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E96-4DCC-9478-F8848BC2E928}"/>
                </c:ext>
              </c:extLst>
            </c:dLbl>
            <c:dLbl>
              <c:idx val="1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E96-4DCC-9478-F8848BC2E928}"/>
                </c:ext>
              </c:extLst>
            </c:dLbl>
            <c:dLbl>
              <c:idx val="2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E96-4DCC-9478-F8848BC2E928}"/>
                </c:ext>
              </c:extLst>
            </c:dLbl>
            <c:dLbl>
              <c:idx val="3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E96-4DCC-9478-F8848BC2E928}"/>
                </c:ext>
              </c:extLst>
            </c:dLbl>
            <c:dLbl>
              <c:idx val="4"/>
              <c:numFmt formatCode="0.0_ ;[Red]\-0.0\ ;;@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E96-4DCC-9478-F8848BC2E928}"/>
                </c:ext>
              </c:extLst>
            </c:dLbl>
            <c:numFmt formatCode="0.0_ ;[Red]\-0.0\ ;;@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図3!$M$15:$M$19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図3!$U$15:$U$19</c:f>
              <c:numCache>
                <c:formatCode>#,##0.0_ ;[Red]\-#,##0.0\ </c:formatCode>
                <c:ptCount val="5"/>
                <c:pt idx="0">
                  <c:v>2</c:v>
                </c:pt>
                <c:pt idx="1">
                  <c:v>3.2</c:v>
                </c:pt>
                <c:pt idx="2">
                  <c:v>2</c:v>
                </c:pt>
                <c:pt idx="3">
                  <c:v>1.8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E96-4DCC-9478-F8848BC2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4643000"/>
        <c:axId val="364643392"/>
      </c:barChart>
      <c:catAx>
        <c:axId val="36464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646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643392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643000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638175</xdr:colOff>
      <xdr:row>31</xdr:row>
      <xdr:rowOff>142875</xdr:rowOff>
    </xdr:to>
    <xdr:graphicFrame macro="">
      <xdr:nvGraphicFramePr>
        <xdr:cNvPr id="2" name="世帯被保数グラフ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32</xdr:row>
      <xdr:rowOff>0</xdr:rowOff>
    </xdr:from>
    <xdr:to>
      <xdr:col>10</xdr:col>
      <xdr:colOff>628650</xdr:colOff>
      <xdr:row>41</xdr:row>
      <xdr:rowOff>228600</xdr:rowOff>
    </xdr:to>
    <xdr:graphicFrame macro="">
      <xdr:nvGraphicFramePr>
        <xdr:cNvPr id="3" name="島しょグラフ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0.00725</cdr:x>
      <cdr:y>0.0102</cdr:y>
    </cdr:from>
    <cdr:to>
      <cdr:x>0.16099</cdr:x>
      <cdr:y>0.06727</cdr:y>
    </cdr:to>
    <cdr:sp macro="" textlink="">
      <cdr:nvSpPr>
        <cdr:cNvPr id="2426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010412" cy="2663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　出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11</xdr:col>
      <xdr:colOff>0</xdr:colOff>
      <xdr:row>27</xdr:row>
      <xdr:rowOff>0</xdr:rowOff>
    </xdr:to>
    <xdr:graphicFrame macro="">
      <xdr:nvGraphicFramePr>
        <xdr:cNvPr id="2" name="横グラフ歳入市町村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11</xdr:col>
      <xdr:colOff>0</xdr:colOff>
      <xdr:row>16</xdr:row>
      <xdr:rowOff>0</xdr:rowOff>
    </xdr:to>
    <xdr:graphicFrame macro="">
      <xdr:nvGraphicFramePr>
        <xdr:cNvPr id="3" name="横グラフ歳入特別区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22860</xdr:rowOff>
    </xdr:from>
    <xdr:to>
      <xdr:col>11</xdr:col>
      <xdr:colOff>0</xdr:colOff>
      <xdr:row>39</xdr:row>
      <xdr:rowOff>22860</xdr:rowOff>
    </xdr:to>
    <xdr:graphicFrame macro="">
      <xdr:nvGraphicFramePr>
        <xdr:cNvPr id="4" name="横グラフ歳入組合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51</xdr:row>
      <xdr:rowOff>47625</xdr:rowOff>
    </xdr:from>
    <xdr:to>
      <xdr:col>11</xdr:col>
      <xdr:colOff>0</xdr:colOff>
      <xdr:row>67</xdr:row>
      <xdr:rowOff>247650</xdr:rowOff>
    </xdr:to>
    <xdr:graphicFrame macro="">
      <xdr:nvGraphicFramePr>
        <xdr:cNvPr id="6" name="横グラフ歳出特別区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11</xdr:col>
      <xdr:colOff>0</xdr:colOff>
      <xdr:row>89</xdr:row>
      <xdr:rowOff>247650</xdr:rowOff>
    </xdr:to>
    <xdr:graphicFrame macro="">
      <xdr:nvGraphicFramePr>
        <xdr:cNvPr id="7" name="横グラフ歳出組合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68</xdr:row>
      <xdr:rowOff>19050</xdr:rowOff>
    </xdr:from>
    <xdr:to>
      <xdr:col>11</xdr:col>
      <xdr:colOff>0</xdr:colOff>
      <xdr:row>79</xdr:row>
      <xdr:rowOff>114300</xdr:rowOff>
    </xdr:to>
    <xdr:graphicFrame macro="">
      <xdr:nvGraphicFramePr>
        <xdr:cNvPr id="8" name="横グラフ歳出市町村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0.59897</cdr:x>
      <cdr:y>0.14749</cdr:y>
    </cdr:from>
    <cdr:to>
      <cdr:x>0.74087</cdr:x>
      <cdr:y>0.39311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59696" y="54872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0.59897</cdr:x>
      <cdr:y>0.14798</cdr:y>
    </cdr:from>
    <cdr:to>
      <cdr:x>0.74087</cdr:x>
      <cdr:y>0.39457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59696" y="54872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38100</xdr:rowOff>
    </xdr:from>
    <xdr:to>
      <xdr:col>0</xdr:col>
      <xdr:colOff>571500</xdr:colOff>
      <xdr:row>5</xdr:row>
      <xdr:rowOff>190500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57175" y="998220"/>
          <a:ext cx="314325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11</xdr:col>
      <xdr:colOff>171450</xdr:colOff>
      <xdr:row>25</xdr:row>
      <xdr:rowOff>133350</xdr:rowOff>
    </xdr:from>
    <xdr:to>
      <xdr:col>12</xdr:col>
      <xdr:colOff>428625</xdr:colOff>
      <xdr:row>26</xdr:row>
      <xdr:rowOff>76200</xdr:rowOff>
    </xdr:to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4972050" y="6122670"/>
          <a:ext cx="683895" cy="19431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［年度］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66675</xdr:colOff>
      <xdr:row>3</xdr:row>
      <xdr:rowOff>38100</xdr:rowOff>
    </xdr:from>
    <xdr:to>
      <xdr:col>12</xdr:col>
      <xdr:colOff>422910</xdr:colOff>
      <xdr:row>26</xdr:row>
      <xdr:rowOff>66675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</xdr:row>
      <xdr:rowOff>38099</xdr:rowOff>
    </xdr:from>
    <xdr:to>
      <xdr:col>1</xdr:col>
      <xdr:colOff>533400</xdr:colOff>
      <xdr:row>5</xdr:row>
      <xdr:rowOff>219074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8100" y="1019907"/>
          <a:ext cx="707781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</xdr:row>
      <xdr:rowOff>0</xdr:rowOff>
    </xdr:from>
    <xdr:to>
      <xdr:col>6</xdr:col>
      <xdr:colOff>514350</xdr:colOff>
      <xdr:row>19</xdr:row>
      <xdr:rowOff>0</xdr:rowOff>
    </xdr:to>
    <xdr:graphicFrame macro="">
      <xdr:nvGraphicFramePr>
        <xdr:cNvPr id="2" name="グラフ入院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5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3" name="グラフ入院外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6</xdr:col>
      <xdr:colOff>371475</xdr:colOff>
      <xdr:row>32</xdr:row>
      <xdr:rowOff>0</xdr:rowOff>
    </xdr:to>
    <xdr:graphicFrame macro="">
      <xdr:nvGraphicFramePr>
        <xdr:cNvPr id="4" name="グラフ歯科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381000</xdr:colOff>
      <xdr:row>19</xdr:row>
      <xdr:rowOff>0</xdr:rowOff>
    </xdr:from>
    <xdr:to>
      <xdr:col>12</xdr:col>
      <xdr:colOff>0</xdr:colOff>
      <xdr:row>32</xdr:row>
      <xdr:rowOff>0</xdr:rowOff>
    </xdr:to>
    <xdr:graphicFrame macro="">
      <xdr:nvGraphicFramePr>
        <xdr:cNvPr id="5" name="グラフ計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</xdr:row>
      <xdr:rowOff>0</xdr:rowOff>
    </xdr:from>
    <xdr:to>
      <xdr:col>7</xdr:col>
      <xdr:colOff>19050</xdr:colOff>
      <xdr:row>4</xdr:row>
      <xdr:rowOff>180975</xdr:rowOff>
    </xdr:to>
    <xdr:sp macro="" textlink="">
      <xdr:nvSpPr>
        <xdr:cNvPr id="9" name="テキスト 2">
          <a:extLst>
            <a:ext uri="{FF2B5EF4-FFF2-40B4-BE49-F238E27FC236}">
              <a16:creationId xmlns:a16="http://schemas.microsoft.com/office/drawing/2014/main" id="{9E22E897-FBBD-4973-AD63-9B2AFB50DBA9}"/>
            </a:ext>
          </a:extLst>
        </xdr:cNvPr>
        <xdr:cNvSpPr txBox="1">
          <a:spLocks noChangeArrowheads="1"/>
        </xdr:cNvSpPr>
      </xdr:nvSpPr>
      <xdr:spPr bwMode="auto">
        <a:xfrm>
          <a:off x="2762250" y="96202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28575</xdr:colOff>
      <xdr:row>5</xdr:row>
      <xdr:rowOff>47625</xdr:rowOff>
    </xdr:from>
    <xdr:to>
      <xdr:col>3</xdr:col>
      <xdr:colOff>28575</xdr:colOff>
      <xdr:row>5</xdr:row>
      <xdr:rowOff>228600</xdr:rowOff>
    </xdr:to>
    <xdr:sp macro="" textlink="">
      <xdr:nvSpPr>
        <xdr:cNvPr id="11" name="テキスト 2">
          <a:extLst>
            <a:ext uri="{FF2B5EF4-FFF2-40B4-BE49-F238E27FC236}">
              <a16:creationId xmlns:a16="http://schemas.microsoft.com/office/drawing/2014/main" id="{CD449868-AC81-4451-8D51-2CBEE9C7EAAB}"/>
            </a:ext>
          </a:extLst>
        </xdr:cNvPr>
        <xdr:cNvSpPr txBox="1">
          <a:spLocks noChangeArrowheads="1"/>
        </xdr:cNvSpPr>
      </xdr:nvSpPr>
      <xdr:spPr bwMode="auto">
        <a:xfrm>
          <a:off x="28575" y="126682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523875</xdr:colOff>
      <xdr:row>5</xdr:row>
      <xdr:rowOff>47625</xdr:rowOff>
    </xdr:from>
    <xdr:to>
      <xdr:col>7</xdr:col>
      <xdr:colOff>542925</xdr:colOff>
      <xdr:row>5</xdr:row>
      <xdr:rowOff>228600</xdr:rowOff>
    </xdr:to>
    <xdr:sp macro="" textlink="">
      <xdr:nvSpPr>
        <xdr:cNvPr id="12" name="テキスト 2">
          <a:extLst>
            <a:ext uri="{FF2B5EF4-FFF2-40B4-BE49-F238E27FC236}">
              <a16:creationId xmlns:a16="http://schemas.microsoft.com/office/drawing/2014/main" id="{E845F686-FD98-428E-A17B-4BE802F91017}"/>
            </a:ext>
          </a:extLst>
        </xdr:cNvPr>
        <xdr:cNvSpPr txBox="1">
          <a:spLocks noChangeArrowheads="1"/>
        </xdr:cNvSpPr>
      </xdr:nvSpPr>
      <xdr:spPr bwMode="auto">
        <a:xfrm>
          <a:off x="3286125" y="126682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28575</xdr:colOff>
      <xdr:row>19</xdr:row>
      <xdr:rowOff>9525</xdr:rowOff>
    </xdr:from>
    <xdr:to>
      <xdr:col>3</xdr:col>
      <xdr:colOff>28575</xdr:colOff>
      <xdr:row>19</xdr:row>
      <xdr:rowOff>190500</xdr:rowOff>
    </xdr:to>
    <xdr:sp macro="" textlink="">
      <xdr:nvSpPr>
        <xdr:cNvPr id="13" name="テキスト 2">
          <a:extLst>
            <a:ext uri="{FF2B5EF4-FFF2-40B4-BE49-F238E27FC236}">
              <a16:creationId xmlns:a16="http://schemas.microsoft.com/office/drawing/2014/main" id="{CE73A6A0-C31D-483A-A299-82D6D1C9A990}"/>
            </a:ext>
          </a:extLst>
        </xdr:cNvPr>
        <xdr:cNvSpPr txBox="1">
          <a:spLocks noChangeArrowheads="1"/>
        </xdr:cNvSpPr>
      </xdr:nvSpPr>
      <xdr:spPr bwMode="auto">
        <a:xfrm>
          <a:off x="28575" y="482917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523875</xdr:colOff>
      <xdr:row>19</xdr:row>
      <xdr:rowOff>9525</xdr:rowOff>
    </xdr:from>
    <xdr:to>
      <xdr:col>7</xdr:col>
      <xdr:colOff>542925</xdr:colOff>
      <xdr:row>19</xdr:row>
      <xdr:rowOff>190500</xdr:rowOff>
    </xdr:to>
    <xdr:sp macro="" textlink="">
      <xdr:nvSpPr>
        <xdr:cNvPr id="14" name="テキスト 2">
          <a:extLst>
            <a:ext uri="{FF2B5EF4-FFF2-40B4-BE49-F238E27FC236}">
              <a16:creationId xmlns:a16="http://schemas.microsoft.com/office/drawing/2014/main" id="{66E75ACD-0681-46EB-8514-0D9FB0051850}"/>
            </a:ext>
          </a:extLst>
        </xdr:cNvPr>
        <xdr:cNvSpPr txBox="1">
          <a:spLocks noChangeArrowheads="1"/>
        </xdr:cNvSpPr>
      </xdr:nvSpPr>
      <xdr:spPr bwMode="auto">
        <a:xfrm>
          <a:off x="3286125" y="4829175"/>
          <a:ext cx="7048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16</xdr:row>
      <xdr:rowOff>0</xdr:rowOff>
    </xdr:from>
    <xdr:to>
      <xdr:col>12</xdr:col>
      <xdr:colOff>0</xdr:colOff>
      <xdr:row>29</xdr:row>
      <xdr:rowOff>0</xdr:rowOff>
    </xdr:to>
    <xdr:graphicFrame macro="">
      <xdr:nvGraphicFramePr>
        <xdr:cNvPr id="2" name="グラフ計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6</xdr:col>
      <xdr:colOff>371475</xdr:colOff>
      <xdr:row>16</xdr:row>
      <xdr:rowOff>0</xdr:rowOff>
    </xdr:to>
    <xdr:graphicFrame macro="">
      <xdr:nvGraphicFramePr>
        <xdr:cNvPr id="3" name="グラフ入院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381000</xdr:colOff>
      <xdr:row>2</xdr:row>
      <xdr:rowOff>0</xdr:rowOff>
    </xdr:from>
    <xdr:to>
      <xdr:col>12</xdr:col>
      <xdr:colOff>0</xdr:colOff>
      <xdr:row>16</xdr:row>
      <xdr:rowOff>0</xdr:rowOff>
    </xdr:to>
    <xdr:graphicFrame macro="">
      <xdr:nvGraphicFramePr>
        <xdr:cNvPr id="4" name="グラフ入院外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371475</xdr:colOff>
      <xdr:row>29</xdr:row>
      <xdr:rowOff>0</xdr:rowOff>
    </xdr:to>
    <xdr:graphicFrame macro="">
      <xdr:nvGraphicFramePr>
        <xdr:cNvPr id="5" name="グラフ歯科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38100</xdr:rowOff>
    </xdr:from>
    <xdr:to>
      <xdr:col>2</xdr:col>
      <xdr:colOff>133350</xdr:colOff>
      <xdr:row>2</xdr:row>
      <xdr:rowOff>209136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9050" y="601317"/>
          <a:ext cx="677517" cy="17103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285750</xdr:colOff>
      <xdr:row>2</xdr:row>
      <xdr:rowOff>38100</xdr:rowOff>
    </xdr:from>
    <xdr:to>
      <xdr:col>7</xdr:col>
      <xdr:colOff>276225</xdr:colOff>
      <xdr:row>2</xdr:row>
      <xdr:rowOff>209550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3052141" y="601317"/>
          <a:ext cx="677932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</xdr:colOff>
      <xdr:row>16</xdr:row>
      <xdr:rowOff>66675</xdr:rowOff>
    </xdr:from>
    <xdr:to>
      <xdr:col>2</xdr:col>
      <xdr:colOff>133350</xdr:colOff>
      <xdr:row>16</xdr:row>
      <xdr:rowOff>238125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19050" y="4224545"/>
          <a:ext cx="677517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0.01519</cdr:y>
    </cdr:from>
    <cdr:to>
      <cdr:x>0.21581</cdr:x>
      <cdr:y>0.06648</cdr:y>
    </cdr:to>
    <cdr:sp macro="" textlink="">
      <cdr:nvSpPr>
        <cdr:cNvPr id="2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800"/>
          <a:ext cx="676275" cy="1714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371475</xdr:colOff>
      <xdr:row>16</xdr:row>
      <xdr:rowOff>0</xdr:rowOff>
    </xdr:to>
    <xdr:graphicFrame macro="">
      <xdr:nvGraphicFramePr>
        <xdr:cNvPr id="2" name="グラフ入院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</xdr:row>
      <xdr:rowOff>0</xdr:rowOff>
    </xdr:from>
    <xdr:to>
      <xdr:col>12</xdr:col>
      <xdr:colOff>0</xdr:colOff>
      <xdr:row>16</xdr:row>
      <xdr:rowOff>0</xdr:rowOff>
    </xdr:to>
    <xdr:graphicFrame macro="">
      <xdr:nvGraphicFramePr>
        <xdr:cNvPr id="3" name="グラフ入院外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16</xdr:row>
      <xdr:rowOff>0</xdr:rowOff>
    </xdr:from>
    <xdr:to>
      <xdr:col>6</xdr:col>
      <xdr:colOff>381000</xdr:colOff>
      <xdr:row>29</xdr:row>
      <xdr:rowOff>0</xdr:rowOff>
    </xdr:to>
    <xdr:graphicFrame macro="">
      <xdr:nvGraphicFramePr>
        <xdr:cNvPr id="4" name="グラフ歯科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381000</xdr:colOff>
      <xdr:row>16</xdr:row>
      <xdr:rowOff>0</xdr:rowOff>
    </xdr:from>
    <xdr:to>
      <xdr:col>12</xdr:col>
      <xdr:colOff>0</xdr:colOff>
      <xdr:row>29</xdr:row>
      <xdr:rowOff>0</xdr:rowOff>
    </xdr:to>
    <xdr:graphicFrame macro="">
      <xdr:nvGraphicFramePr>
        <xdr:cNvPr id="5" name="グラフ計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3</xdr:col>
      <xdr:colOff>1</xdr:colOff>
      <xdr:row>2</xdr:row>
      <xdr:rowOff>219075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0" y="6381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295275</xdr:colOff>
      <xdr:row>2</xdr:row>
      <xdr:rowOff>76200</xdr:rowOff>
    </xdr:from>
    <xdr:to>
      <xdr:col>7</xdr:col>
      <xdr:colOff>314326</xdr:colOff>
      <xdr:row>2</xdr:row>
      <xdr:rowOff>219075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3057525" y="6381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16</xdr:row>
      <xdr:rowOff>38100</xdr:rowOff>
    </xdr:from>
    <xdr:to>
      <xdr:col>3</xdr:col>
      <xdr:colOff>1</xdr:colOff>
      <xdr:row>16</xdr:row>
      <xdr:rowOff>180975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295275</xdr:colOff>
      <xdr:row>16</xdr:row>
      <xdr:rowOff>38100</xdr:rowOff>
    </xdr:from>
    <xdr:to>
      <xdr:col>7</xdr:col>
      <xdr:colOff>314326</xdr:colOff>
      <xdr:row>16</xdr:row>
      <xdr:rowOff>180975</xdr:rowOff>
    </xdr:to>
    <xdr:sp macro="" textlink="">
      <xdr:nvSpPr>
        <xdr:cNvPr id="9" name="テキスト 6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3057525" y="420052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285750</xdr:colOff>
      <xdr:row>16</xdr:row>
      <xdr:rowOff>0</xdr:rowOff>
    </xdr:to>
    <xdr:graphicFrame macro="">
      <xdr:nvGraphicFramePr>
        <xdr:cNvPr id="2" name="グラフ入院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</xdr:row>
      <xdr:rowOff>0</xdr:rowOff>
    </xdr:from>
    <xdr:to>
      <xdr:col>12</xdr:col>
      <xdr:colOff>0</xdr:colOff>
      <xdr:row>16</xdr:row>
      <xdr:rowOff>0</xdr:rowOff>
    </xdr:to>
    <xdr:graphicFrame macro="">
      <xdr:nvGraphicFramePr>
        <xdr:cNvPr id="3" name="グラフ入院外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285750</xdr:colOff>
      <xdr:row>29</xdr:row>
      <xdr:rowOff>0</xdr:rowOff>
    </xdr:to>
    <xdr:graphicFrame macro="">
      <xdr:nvGraphicFramePr>
        <xdr:cNvPr id="4" name="グラフ歯科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304800</xdr:colOff>
      <xdr:row>16</xdr:row>
      <xdr:rowOff>0</xdr:rowOff>
    </xdr:from>
    <xdr:to>
      <xdr:col>12</xdr:col>
      <xdr:colOff>0</xdr:colOff>
      <xdr:row>29</xdr:row>
      <xdr:rowOff>0</xdr:rowOff>
    </xdr:to>
    <xdr:graphicFrame macro="">
      <xdr:nvGraphicFramePr>
        <xdr:cNvPr id="5" name="グラフ計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</xdr:row>
      <xdr:rowOff>47625</xdr:rowOff>
    </xdr:from>
    <xdr:to>
      <xdr:col>3</xdr:col>
      <xdr:colOff>1</xdr:colOff>
      <xdr:row>2</xdr:row>
      <xdr:rowOff>190500</xdr:rowOff>
    </xdr:to>
    <xdr:sp macro="" textlink="">
      <xdr:nvSpPr>
        <xdr:cNvPr id="18" name="テキスト 6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609600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285750</xdr:colOff>
      <xdr:row>2</xdr:row>
      <xdr:rowOff>47625</xdr:rowOff>
    </xdr:from>
    <xdr:to>
      <xdr:col>7</xdr:col>
      <xdr:colOff>304801</xdr:colOff>
      <xdr:row>2</xdr:row>
      <xdr:rowOff>190500</xdr:rowOff>
    </xdr:to>
    <xdr:sp macro="" textlink="">
      <xdr:nvSpPr>
        <xdr:cNvPr id="19" name="テキスト 6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>
          <a:spLocks noChangeArrowheads="1"/>
        </xdr:cNvSpPr>
      </xdr:nvSpPr>
      <xdr:spPr bwMode="auto">
        <a:xfrm>
          <a:off x="3048000" y="609600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16</xdr:row>
      <xdr:rowOff>57150</xdr:rowOff>
    </xdr:from>
    <xdr:to>
      <xdr:col>3</xdr:col>
      <xdr:colOff>1</xdr:colOff>
      <xdr:row>16</xdr:row>
      <xdr:rowOff>200025</xdr:rowOff>
    </xdr:to>
    <xdr:sp macro="" textlink="">
      <xdr:nvSpPr>
        <xdr:cNvPr id="20" name="テキスト 6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2195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6</xdr:col>
      <xdr:colOff>285750</xdr:colOff>
      <xdr:row>16</xdr:row>
      <xdr:rowOff>57150</xdr:rowOff>
    </xdr:from>
    <xdr:to>
      <xdr:col>7</xdr:col>
      <xdr:colOff>304801</xdr:colOff>
      <xdr:row>16</xdr:row>
      <xdr:rowOff>200025</xdr:rowOff>
    </xdr:to>
    <xdr:sp macro="" textlink="">
      <xdr:nvSpPr>
        <xdr:cNvPr id="21" name="テキスト 6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>
          <a:spLocks noChangeArrowheads="1"/>
        </xdr:cNvSpPr>
      </xdr:nvSpPr>
      <xdr:spPr bwMode="auto">
        <a:xfrm>
          <a:off x="3048000" y="4219575"/>
          <a:ext cx="704851" cy="1428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0.85664</cdr:x>
      <cdr:y>0.1079</cdr:y>
    </cdr:from>
    <cdr:to>
      <cdr:x>0.97839</cdr:x>
      <cdr:y>0.13449</cdr:y>
    </cdr:to>
    <cdr:sp macro="" textlink="">
      <cdr:nvSpPr>
        <cdr:cNvPr id="409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2324" y="758447"/>
          <a:ext cx="72943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単位：万人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0.10642</cdr:y>
    </cdr:from>
    <cdr:to>
      <cdr:x>0.14101</cdr:x>
      <cdr:y>0.13301</cdr:y>
    </cdr:to>
    <cdr:sp macro="" textlink="">
      <cdr:nvSpPr>
        <cdr:cNvPr id="4100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48044"/>
          <a:ext cx="844848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単位：万世帯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52044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0.40186</cdr:x>
      <cdr:y>0.97493</cdr:y>
    </cdr:from>
    <cdr:to>
      <cdr:x>0.40186</cdr:x>
      <cdr:y>0.97493</cdr:y>
    </cdr:to>
    <cdr:sp macro="" textlink="">
      <cdr:nvSpPr>
        <cdr:cNvPr id="512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5" y="240829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0.01617</cdr:x>
      <cdr:y>0.23922</cdr:y>
    </cdr:from>
    <cdr:to>
      <cdr:x>0.05331</cdr:x>
      <cdr:y>0.55961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813" y="593332"/>
          <a:ext cx="219697" cy="790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wordArtVertRtl" wrap="none" lIns="18288" tIns="0" rIns="18288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［世帯数］</a:t>
          </a:r>
        </a:p>
      </cdr:txBody>
    </cdr:sp>
  </cdr:relSizeAnchor>
  <cdr:relSizeAnchor xmlns:cdr="http://schemas.openxmlformats.org/drawingml/2006/chartDrawing">
    <cdr:from>
      <cdr:x>0.94841</cdr:x>
      <cdr:y>0.22024</cdr:y>
    </cdr:from>
    <cdr:to>
      <cdr:x>0.98555</cdr:x>
      <cdr:y>0.66416</cdr:y>
    </cdr:to>
    <cdr:sp macro="" textlink="">
      <cdr:nvSpPr>
        <cdr:cNvPr id="51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3050" y="546491"/>
          <a:ext cx="219696" cy="109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wordArtVertRtl" wrap="none" lIns="18288" tIns="0" rIns="18288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［被保険者数］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828675</xdr:colOff>
      <xdr:row>30</xdr:row>
      <xdr:rowOff>0</xdr:rowOff>
    </xdr:to>
    <xdr:graphicFrame macro="">
      <xdr:nvGraphicFramePr>
        <xdr:cNvPr id="2" name="歳入特別区グラフ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11</xdr:col>
      <xdr:colOff>409575</xdr:colOff>
      <xdr:row>58</xdr:row>
      <xdr:rowOff>0</xdr:rowOff>
    </xdr:to>
    <xdr:graphicFrame macro="">
      <xdr:nvGraphicFramePr>
        <xdr:cNvPr id="3" name="歳出特別区グラフ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165100</xdr:colOff>
      <xdr:row>43</xdr:row>
      <xdr:rowOff>19985</xdr:rowOff>
    </xdr:from>
    <xdr:to>
      <xdr:col>6</xdr:col>
      <xdr:colOff>307675</xdr:colOff>
      <xdr:row>47</xdr:row>
      <xdr:rowOff>58159</xdr:rowOff>
    </xdr:to>
    <xdr:sp macro="" textlink="$O$52">
      <xdr:nvSpPr>
        <xdr:cNvPr id="4" name="歳出特別区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2817159" y="7804338"/>
          <a:ext cx="672987" cy="72546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B0DC0196-7B62-4A05-B779-CA3D328A9DE6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896,004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3</xdr:col>
      <xdr:colOff>357256</xdr:colOff>
      <xdr:row>13</xdr:row>
      <xdr:rowOff>31993</xdr:rowOff>
    </xdr:from>
    <xdr:to>
      <xdr:col>4</xdr:col>
      <xdr:colOff>499831</xdr:colOff>
      <xdr:row>17</xdr:row>
      <xdr:rowOff>69793</xdr:rowOff>
    </xdr:to>
    <xdr:sp macro="" textlink="$O$26">
      <xdr:nvSpPr>
        <xdr:cNvPr id="5" name="歳入特別区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2100331" y="2670418"/>
          <a:ext cx="723600" cy="723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2AB252E0-ECB3-42E8-8203-B91526E56BCF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915,031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11</xdr:col>
      <xdr:colOff>409575</xdr:colOff>
      <xdr:row>117</xdr:row>
      <xdr:rowOff>0</xdr:rowOff>
    </xdr:to>
    <xdr:graphicFrame macro="">
      <xdr:nvGraphicFramePr>
        <xdr:cNvPr id="6" name="歳出市町村グラフ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161925</xdr:colOff>
      <xdr:row>102</xdr:row>
      <xdr:rowOff>3922</xdr:rowOff>
    </xdr:from>
    <xdr:to>
      <xdr:col>6</xdr:col>
      <xdr:colOff>304500</xdr:colOff>
      <xdr:row>106</xdr:row>
      <xdr:rowOff>42096</xdr:rowOff>
    </xdr:to>
    <xdr:sp macro="" textlink="$O$111">
      <xdr:nvSpPr>
        <xdr:cNvPr id="7" name="歳出市町村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2813984" y="18366628"/>
          <a:ext cx="672987" cy="725468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46EB8E25-0AF7-4DC8-A65B-67AB7D671931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409,978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7</xdr:col>
      <xdr:colOff>828675</xdr:colOff>
      <xdr:row>89</xdr:row>
      <xdr:rowOff>0</xdr:rowOff>
    </xdr:to>
    <xdr:graphicFrame macro="">
      <xdr:nvGraphicFramePr>
        <xdr:cNvPr id="8" name="歳入市町村グラフ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379480</xdr:colOff>
      <xdr:row>71</xdr:row>
      <xdr:rowOff>167584</xdr:rowOff>
    </xdr:from>
    <xdr:to>
      <xdr:col>4</xdr:col>
      <xdr:colOff>522055</xdr:colOff>
      <xdr:row>76</xdr:row>
      <xdr:rowOff>33934</xdr:rowOff>
    </xdr:to>
    <xdr:sp macro="" textlink="$O$85">
      <xdr:nvSpPr>
        <xdr:cNvPr id="9" name="歳入市町村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1979680" y="13197784"/>
          <a:ext cx="675975" cy="723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11CFB395-EF92-48F8-97C1-4B8EB6779F06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417,626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7</xdr:col>
      <xdr:colOff>571500</xdr:colOff>
      <xdr:row>148</xdr:row>
      <xdr:rowOff>0</xdr:rowOff>
    </xdr:to>
    <xdr:graphicFrame macro="">
      <xdr:nvGraphicFramePr>
        <xdr:cNvPr id="10" name="歳入組合グラフ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314325</xdr:colOff>
      <xdr:row>131</xdr:row>
      <xdr:rowOff>165236</xdr:rowOff>
    </xdr:from>
    <xdr:to>
      <xdr:col>4</xdr:col>
      <xdr:colOff>457200</xdr:colOff>
      <xdr:row>136</xdr:row>
      <xdr:rowOff>31886</xdr:rowOff>
    </xdr:to>
    <xdr:sp macro="" textlink="$O$144">
      <xdr:nvSpPr>
        <xdr:cNvPr id="11" name="歳入組合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1891665" y="2375036"/>
          <a:ext cx="668655" cy="704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123CAF5A-AE5E-4605-8881-6C62F7711617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467,400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9</xdr:col>
      <xdr:colOff>371475</xdr:colOff>
      <xdr:row>176</xdr:row>
      <xdr:rowOff>0</xdr:rowOff>
    </xdr:to>
    <xdr:graphicFrame macro="">
      <xdr:nvGraphicFramePr>
        <xdr:cNvPr id="12" name="歳出組合グラフ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511175</xdr:colOff>
      <xdr:row>161</xdr:row>
      <xdr:rowOff>139700</xdr:rowOff>
    </xdr:from>
    <xdr:to>
      <xdr:col>5</xdr:col>
      <xdr:colOff>120650</xdr:colOff>
      <xdr:row>166</xdr:row>
      <xdr:rowOff>6350</xdr:rowOff>
    </xdr:to>
    <xdr:sp macro="" textlink="$O$170">
      <xdr:nvSpPr>
        <xdr:cNvPr id="13" name="歳出組合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111375" y="28625800"/>
          <a:ext cx="676275" cy="723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fld id="{BA30E0C1-F20F-4887-82ED-3FD880340D93}" type="TxLink">
            <a:rPr lang="en-US" altLang="en-US" sz="98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 algn="ctr" rtl="0">
              <a:lnSpc>
                <a:spcPts val="1100"/>
              </a:lnSpc>
              <a:defRPr sz="1000"/>
            </a:pPr>
            <a:t>412,271
百万円</a:t>
          </a:fld>
          <a:endParaRPr lang="ja-JP" altLang="en-US" sz="98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0.00971</cdr:x>
      <cdr:y>0.0099</cdr:y>
    </cdr:from>
    <cdr:to>
      <cdr:x>0.21759</cdr:x>
      <cdr:y>0.06528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019747" cy="266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　入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0.01027</cdr:y>
    </cdr:from>
    <cdr:to>
      <cdr:x>0.16022</cdr:x>
      <cdr:y>0.06781</cdr:y>
    </cdr:to>
    <cdr:sp macro="" textlink="">
      <cdr:nvSpPr>
        <cdr:cNvPr id="1126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009991" cy="26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　出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0.01027</cdr:y>
    </cdr:from>
    <cdr:to>
      <cdr:x>0.16022</cdr:x>
      <cdr:y>0.06781</cdr:y>
    </cdr:to>
    <cdr:sp macro="" textlink="">
      <cdr:nvSpPr>
        <cdr:cNvPr id="1126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009991" cy="26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　出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0.00971</cdr:x>
      <cdr:y>0.0099</cdr:y>
    </cdr:from>
    <cdr:to>
      <cdr:x>0.21759</cdr:x>
      <cdr:y>0.06528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019747" cy="266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　入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0.01025</cdr:x>
      <cdr:y>0.00994</cdr:y>
    </cdr:from>
    <cdr:to>
      <cdr:x>0.22941</cdr:x>
      <cdr:y>0.06556</cdr:y>
    </cdr:to>
    <cdr:sp macro="" textlink="">
      <cdr:nvSpPr>
        <cdr:cNvPr id="11264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018723" cy="266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　入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Z64"/>
  <sheetViews>
    <sheetView tabSelected="1" view="pageBreakPreview" zoomScaleNormal="100" zoomScaleSheetLayoutView="100" workbookViewId="0">
      <pane xSplit="5" ySplit="12" topLeftCell="F13" activePane="bottomRight" state="frozen"/>
      <selection activeCell="J4" sqref="J4:K5"/>
      <selection pane="topRight" activeCell="J4" sqref="J4:K5"/>
      <selection pane="bottomLeft" activeCell="J4" sqref="J4:K5"/>
      <selection pane="bottomRight"/>
    </sheetView>
  </sheetViews>
  <sheetFormatPr defaultColWidth="9" defaultRowHeight="12"/>
  <cols>
    <col min="1" max="1" width="4.109375" style="21" customWidth="1" collapsed="1"/>
    <col min="2" max="2" width="1.88671875" style="20" customWidth="1" collapsed="1"/>
    <col min="3" max="3" width="13" style="20" customWidth="1" collapsed="1"/>
    <col min="4" max="4" width="1.77734375" style="21" customWidth="1" collapsed="1"/>
    <col min="5" max="5" width="3.77734375" style="21" customWidth="1" collapsed="1"/>
    <col min="6" max="6" width="16.88671875" style="1" customWidth="1" collapsed="1"/>
    <col min="7" max="7" width="1.109375" style="1" customWidth="1" collapsed="1"/>
    <col min="8" max="8" width="6.77734375" style="4" customWidth="1" collapsed="1"/>
    <col min="9" max="9" width="16.88671875" style="1" customWidth="1" collapsed="1"/>
    <col min="10" max="10" width="1.109375" style="1" customWidth="1" collapsed="1"/>
    <col min="11" max="11" width="6.77734375" style="4" customWidth="1" collapsed="1"/>
    <col min="12" max="12" width="16.88671875" style="1" customWidth="1" collapsed="1"/>
    <col min="13" max="13" width="1.109375" style="2" customWidth="1" collapsed="1"/>
    <col min="14" max="14" width="7.77734375" style="4" customWidth="1" collapsed="1"/>
    <col min="15" max="15" width="16.88671875" style="1" customWidth="1" collapsed="1"/>
    <col min="16" max="16" width="1.109375" style="2" customWidth="1" collapsed="1"/>
    <col min="17" max="17" width="6.77734375" style="2" customWidth="1" collapsed="1"/>
    <col min="18" max="18" width="1.109375" style="2" customWidth="1" collapsed="1"/>
    <col min="19" max="19" width="17.6640625" style="1" customWidth="1" collapsed="1"/>
    <col min="20" max="20" width="1.109375" style="1" customWidth="1" collapsed="1"/>
    <col min="21" max="21" width="7.77734375" style="4" customWidth="1" collapsed="1"/>
    <col min="22" max="22" width="9.44140625" style="5" customWidth="1" collapsed="1"/>
    <col min="23" max="23" width="2.33203125" style="1" customWidth="1" collapsed="1"/>
    <col min="24" max="24" width="1.21875" style="1" customWidth="1" collapsed="1"/>
    <col min="25" max="25" width="9" style="1" customWidth="1" collapsed="1"/>
    <col min="26" max="16384" width="9" style="1" collapsed="1"/>
  </cols>
  <sheetData>
    <row r="1" spans="1:24" s="21" customFormat="1" ht="20.399999999999999" customHeight="1">
      <c r="A1" s="770" t="s">
        <v>10</v>
      </c>
      <c r="B1" s="771"/>
      <c r="C1" s="771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</row>
    <row r="2" spans="1:24" s="21" customFormat="1" ht="20.399999999999999" customHeight="1">
      <c r="A2" s="760"/>
      <c r="B2" s="771"/>
      <c r="C2" s="771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</row>
    <row r="3" spans="1:24" s="21" customFormat="1" ht="20.399999999999999" customHeight="1">
      <c r="A3" s="618" t="s">
        <v>11</v>
      </c>
      <c r="B3" s="771"/>
      <c r="C3" s="771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</row>
    <row r="4" spans="1:24" s="22" customFormat="1" ht="20.399999999999999" customHeight="1">
      <c r="A4" s="618"/>
      <c r="B4" s="772" t="str">
        <f>DBCS(情報!$D$2&amp;"における保険者数及び被保険者数は表１、図１のとおりである。")</f>
        <v>令和３年度における保険者数及び被保険者数は表１、図１のとおりである。</v>
      </c>
      <c r="C4" s="772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</row>
    <row r="5" spans="1:24" s="21" customFormat="1" ht="39" customHeight="1">
      <c r="B5" s="20"/>
      <c r="C5" s="20"/>
      <c r="H5" s="590"/>
      <c r="K5" s="590"/>
      <c r="M5" s="20"/>
      <c r="N5" s="590"/>
      <c r="P5" s="20"/>
      <c r="Q5" s="20"/>
      <c r="R5" s="20"/>
      <c r="U5" s="590"/>
      <c r="V5" s="547"/>
    </row>
    <row r="6" spans="1:24" s="21" customFormat="1" ht="21" customHeight="1">
      <c r="A6" s="491"/>
      <c r="B6" s="492"/>
      <c r="C6" s="623" t="s">
        <v>196</v>
      </c>
      <c r="D6" s="491"/>
      <c r="E6" s="491"/>
      <c r="F6" s="491"/>
      <c r="G6" s="491"/>
      <c r="H6" s="537"/>
      <c r="I6" s="491"/>
      <c r="J6" s="491"/>
      <c r="K6" s="537"/>
      <c r="L6" s="491"/>
      <c r="M6" s="492"/>
      <c r="N6" s="537"/>
      <c r="O6" s="491"/>
      <c r="P6" s="492"/>
      <c r="Q6" s="492"/>
      <c r="R6" s="492"/>
      <c r="S6" s="491"/>
      <c r="T6" s="491"/>
      <c r="U6" s="537"/>
      <c r="V6" s="538"/>
      <c r="W6" s="491"/>
    </row>
    <row r="7" spans="1:24" s="21" customFormat="1" ht="5.25" customHeight="1">
      <c r="A7" s="539"/>
      <c r="B7" s="20"/>
      <c r="C7" s="20"/>
      <c r="D7" s="540"/>
      <c r="E7" s="541"/>
      <c r="F7" s="45"/>
      <c r="G7" s="45"/>
      <c r="H7" s="542"/>
      <c r="K7" s="542"/>
      <c r="L7" s="543"/>
      <c r="N7" s="541"/>
      <c r="O7" s="543"/>
      <c r="P7" s="544"/>
      <c r="Q7" s="545"/>
      <c r="R7" s="546"/>
      <c r="U7" s="541"/>
      <c r="V7" s="547"/>
      <c r="W7" s="548"/>
    </row>
    <row r="8" spans="1:24" s="21" customFormat="1" ht="33" customHeight="1">
      <c r="A8" s="539"/>
      <c r="B8" s="20"/>
      <c r="C8" s="20"/>
      <c r="D8" s="540"/>
      <c r="E8" s="549" t="s">
        <v>0</v>
      </c>
      <c r="F8" s="550" t="s">
        <v>197</v>
      </c>
      <c r="G8" s="550"/>
      <c r="H8" s="551"/>
      <c r="I8" s="550" t="s">
        <v>198</v>
      </c>
      <c r="J8" s="550"/>
      <c r="K8" s="551"/>
      <c r="L8" s="552" t="s">
        <v>199</v>
      </c>
      <c r="M8" s="553"/>
      <c r="N8" s="554"/>
      <c r="O8" s="555" t="s">
        <v>200</v>
      </c>
      <c r="P8" s="550"/>
      <c r="Q8" s="550"/>
      <c r="R8" s="556"/>
      <c r="S8" s="550" t="s">
        <v>201</v>
      </c>
      <c r="T8" s="550"/>
      <c r="U8" s="556"/>
      <c r="V8" s="557" t="s">
        <v>202</v>
      </c>
      <c r="W8" s="558"/>
    </row>
    <row r="9" spans="1:24" s="21" customFormat="1" ht="85.5" customHeight="1">
      <c r="A9" s="559"/>
      <c r="B9" s="492"/>
      <c r="C9" s="492"/>
      <c r="D9" s="560"/>
      <c r="E9" s="561" t="s">
        <v>1</v>
      </c>
      <c r="F9" s="550" t="s">
        <v>2</v>
      </c>
      <c r="G9" s="562"/>
      <c r="H9" s="563" t="s">
        <v>203</v>
      </c>
      <c r="I9" s="564" t="s">
        <v>204</v>
      </c>
      <c r="J9" s="565"/>
      <c r="K9" s="563" t="s">
        <v>203</v>
      </c>
      <c r="L9" s="566" t="s">
        <v>205</v>
      </c>
      <c r="M9" s="565"/>
      <c r="N9" s="563" t="s">
        <v>206</v>
      </c>
      <c r="O9" s="566" t="s">
        <v>207</v>
      </c>
      <c r="P9" s="567"/>
      <c r="Q9" s="568" t="s">
        <v>208</v>
      </c>
      <c r="R9" s="551"/>
      <c r="S9" s="1742" t="s">
        <v>601</v>
      </c>
      <c r="T9" s="1743"/>
      <c r="U9" s="563" t="s">
        <v>209</v>
      </c>
      <c r="V9" s="569" t="s">
        <v>210</v>
      </c>
      <c r="W9" s="570"/>
    </row>
    <row r="10" spans="1:24" ht="15" customHeight="1">
      <c r="A10" s="539"/>
      <c r="B10" s="493"/>
      <c r="C10" s="493"/>
      <c r="D10" s="540"/>
      <c r="E10" s="541"/>
      <c r="F10" s="80" t="s">
        <v>3</v>
      </c>
      <c r="G10" s="81"/>
      <c r="H10" s="82" t="s">
        <v>4</v>
      </c>
      <c r="I10" s="80" t="s">
        <v>5</v>
      </c>
      <c r="J10" s="83"/>
      <c r="K10" s="82" t="s">
        <v>4</v>
      </c>
      <c r="L10" s="84" t="s">
        <v>5</v>
      </c>
      <c r="M10" s="81"/>
      <c r="N10" s="82" t="s">
        <v>4</v>
      </c>
      <c r="O10" s="85" t="s">
        <v>5</v>
      </c>
      <c r="P10" s="9"/>
      <c r="Q10" s="86" t="s">
        <v>4</v>
      </c>
      <c r="R10" s="82"/>
      <c r="S10" s="80" t="s">
        <v>5</v>
      </c>
      <c r="T10" s="81"/>
      <c r="U10" s="82" t="s">
        <v>4</v>
      </c>
      <c r="V10" s="80"/>
      <c r="W10" s="87" t="s">
        <v>5</v>
      </c>
    </row>
    <row r="11" spans="1:24" s="95" customFormat="1" hidden="1">
      <c r="A11" s="571"/>
      <c r="B11" s="572"/>
      <c r="C11" s="572"/>
      <c r="D11" s="573"/>
      <c r="E11" s="1491">
        <f>情報!$B$6</f>
        <v>29</v>
      </c>
      <c r="F11" s="88">
        <f>F21+F49</f>
        <v>2755510</v>
      </c>
      <c r="G11" s="89"/>
      <c r="H11" s="1498" t="s">
        <v>211</v>
      </c>
      <c r="I11" s="88">
        <f>I21+I49</f>
        <v>4370322</v>
      </c>
      <c r="J11" s="91"/>
      <c r="K11" s="1498" t="s">
        <v>211</v>
      </c>
      <c r="L11" s="88">
        <f>L21+L49</f>
        <v>4352979</v>
      </c>
      <c r="M11" s="89"/>
      <c r="N11" s="1498">
        <f t="shared" ref="N11:N25" si="0">IF(ISERROR(L11/I11),"－",ROUND(L11/I11*100,1))</f>
        <v>99.6</v>
      </c>
      <c r="O11" s="92">
        <f>O21</f>
        <v>17343</v>
      </c>
      <c r="P11" s="93"/>
      <c r="Q11" s="1509">
        <f t="shared" ref="Q11:Q25" si="1">IF(ISERROR(O11/I11),"－",ROUND(O11/I11*100,1))</f>
        <v>0.4</v>
      </c>
      <c r="R11" s="90"/>
      <c r="S11" s="1496" t="s">
        <v>211</v>
      </c>
      <c r="T11" s="89"/>
      <c r="U11" s="1498" t="s">
        <v>1046</v>
      </c>
      <c r="V11" s="1499" t="s">
        <v>211</v>
      </c>
      <c r="W11" s="94"/>
    </row>
    <row r="12" spans="1:24" s="1452" customFormat="1" ht="13.2" hidden="1">
      <c r="A12" s="1488"/>
      <c r="B12" s="1489"/>
      <c r="C12" s="1489"/>
      <c r="D12" s="1490"/>
      <c r="E12" s="1491">
        <f>情報!$B$5</f>
        <v>30</v>
      </c>
      <c r="F12" s="1508">
        <f>F22+F50</f>
        <v>2703941</v>
      </c>
      <c r="G12" s="1492"/>
      <c r="H12" s="1498">
        <f>IF(ISERROR(F12/F11),"－",ROUND(F12/F11*100,1))</f>
        <v>98.1</v>
      </c>
      <c r="I12" s="1506">
        <f>I22+I50</f>
        <v>4236675</v>
      </c>
      <c r="J12" s="1493"/>
      <c r="K12" s="1498">
        <f>IF(ISERROR(I12/I11),"－",ROUND(I12/I11*100,1))</f>
        <v>96.9</v>
      </c>
      <c r="L12" s="1508">
        <f>L22+L50</f>
        <v>4232679</v>
      </c>
      <c r="M12" s="1492"/>
      <c r="N12" s="1498">
        <f t="shared" si="0"/>
        <v>99.9</v>
      </c>
      <c r="O12" s="1508">
        <f>O22</f>
        <v>3996</v>
      </c>
      <c r="P12" s="1494"/>
      <c r="Q12" s="1509">
        <f t="shared" si="1"/>
        <v>0.1</v>
      </c>
      <c r="R12" s="1495"/>
      <c r="S12" s="1496" t="s">
        <v>211</v>
      </c>
      <c r="T12" s="1497"/>
      <c r="U12" s="1498" t="s">
        <v>1046</v>
      </c>
      <c r="V12" s="1499" t="s">
        <v>211</v>
      </c>
      <c r="W12" s="1514"/>
      <c r="X12" s="1500"/>
    </row>
    <row r="13" spans="1:24" ht="16.5" customHeight="1">
      <c r="A13" s="1740" t="s">
        <v>212</v>
      </c>
      <c r="B13" s="1741"/>
      <c r="C13" s="1741"/>
      <c r="D13" s="540"/>
      <c r="E13" s="577" t="str">
        <f>情報!$B$4</f>
        <v>元</v>
      </c>
      <c r="F13" s="1203">
        <f>F23+F51</f>
        <v>2659399</v>
      </c>
      <c r="G13" s="98"/>
      <c r="H13" s="105">
        <f>IF(ISERROR(F13/F12),"－",ROUND(F13/F12*100,1))</f>
        <v>98.4</v>
      </c>
      <c r="I13" s="158">
        <f>I23+I51</f>
        <v>4125112</v>
      </c>
      <c r="J13" s="99"/>
      <c r="K13" s="105">
        <f>IF(ISERROR(I13/I12),"－",ROUND(I13/I12*100,1))</f>
        <v>97.4</v>
      </c>
      <c r="L13" s="1203">
        <f>L23+L51</f>
        <v>4124924</v>
      </c>
      <c r="M13" s="98"/>
      <c r="N13" s="105">
        <f t="shared" si="0"/>
        <v>100</v>
      </c>
      <c r="O13" s="1203">
        <f>O23</f>
        <v>188</v>
      </c>
      <c r="P13" s="101"/>
      <c r="Q13" s="128">
        <f t="shared" si="1"/>
        <v>0</v>
      </c>
      <c r="R13" s="102"/>
      <c r="S13" s="103" t="s">
        <v>211</v>
      </c>
      <c r="T13" s="104"/>
      <c r="U13" s="105" t="s">
        <v>211</v>
      </c>
      <c r="V13" s="106" t="s">
        <v>211</v>
      </c>
      <c r="W13" s="998"/>
      <c r="X13" s="107"/>
    </row>
    <row r="14" spans="1:24" ht="16.5" customHeight="1">
      <c r="A14" s="578"/>
      <c r="D14" s="540"/>
      <c r="E14" s="577">
        <f>情報!$B$3</f>
        <v>2</v>
      </c>
      <c r="F14" s="1203">
        <f>F24+F52</f>
        <v>2629761</v>
      </c>
      <c r="G14" s="98"/>
      <c r="H14" s="105">
        <f>IF(ISERROR(F14/F13),"－",ROUND(F14/F13*100,1))</f>
        <v>98.9</v>
      </c>
      <c r="I14" s="158">
        <f>I24+I52</f>
        <v>4054474</v>
      </c>
      <c r="J14" s="99"/>
      <c r="K14" s="105">
        <f>IF(ISERROR(I14/I13),"－",ROUND(I14/I13*100,1))</f>
        <v>98.3</v>
      </c>
      <c r="L14" s="1203">
        <f>L24+L52</f>
        <v>4054473</v>
      </c>
      <c r="M14" s="98"/>
      <c r="N14" s="105">
        <f t="shared" si="0"/>
        <v>100</v>
      </c>
      <c r="O14" s="1203">
        <f>O24</f>
        <v>1</v>
      </c>
      <c r="P14" s="101"/>
      <c r="Q14" s="128">
        <f t="shared" si="1"/>
        <v>0</v>
      </c>
      <c r="R14" s="102"/>
      <c r="S14" s="103" t="s">
        <v>211</v>
      </c>
      <c r="T14" s="104"/>
      <c r="U14" s="105" t="s">
        <v>211</v>
      </c>
      <c r="V14" s="106" t="s">
        <v>211</v>
      </c>
      <c r="W14" s="998"/>
      <c r="X14" s="107"/>
    </row>
    <row r="15" spans="1:24" s="11" customFormat="1" ht="17.399999999999999" customHeight="1">
      <c r="A15" s="579"/>
      <c r="B15" s="580"/>
      <c r="C15" s="580"/>
      <c r="D15" s="581"/>
      <c r="E15" s="582">
        <f>情報!$B$2</f>
        <v>3</v>
      </c>
      <c r="F15" s="1204">
        <f>F25+F53</f>
        <v>2576926</v>
      </c>
      <c r="G15" s="999"/>
      <c r="H15" s="110">
        <f>IF(ISERROR(F15/F14),"－",ROUND(F15/F14*100,1))</f>
        <v>98</v>
      </c>
      <c r="I15" s="159">
        <f>I25+I53</f>
        <v>3943984</v>
      </c>
      <c r="J15" s="999"/>
      <c r="K15" s="110">
        <f>IF(ISERROR(I15/I14),"－",ROUND(I15/I14*100,1))</f>
        <v>97.3</v>
      </c>
      <c r="L15" s="1204">
        <f>L25+L53</f>
        <v>3943984</v>
      </c>
      <c r="M15" s="1001"/>
      <c r="N15" s="110">
        <f t="shared" si="0"/>
        <v>100</v>
      </c>
      <c r="O15" s="1204">
        <f>O25</f>
        <v>0</v>
      </c>
      <c r="P15" s="1000"/>
      <c r="Q15" s="1002">
        <f t="shared" si="1"/>
        <v>0</v>
      </c>
      <c r="R15" s="1003"/>
      <c r="S15" s="108" t="s">
        <v>211</v>
      </c>
      <c r="T15" s="109"/>
      <c r="U15" s="110" t="s">
        <v>211</v>
      </c>
      <c r="V15" s="111" t="s">
        <v>211</v>
      </c>
      <c r="W15" s="1004"/>
      <c r="X15" s="112"/>
    </row>
    <row r="16" spans="1:24" s="117" customFormat="1" ht="13.2" hidden="1">
      <c r="A16" s="583"/>
      <c r="B16" s="1522"/>
      <c r="C16" s="584"/>
      <c r="D16" s="585"/>
      <c r="E16" s="586">
        <f>$E$11</f>
        <v>29</v>
      </c>
      <c r="F16" s="132">
        <f>F21+F55</f>
        <v>2359208</v>
      </c>
      <c r="G16" s="1006"/>
      <c r="H16" s="1498" t="s">
        <v>211</v>
      </c>
      <c r="I16" s="132">
        <f>I21+I55</f>
        <v>3514878</v>
      </c>
      <c r="J16" s="1006"/>
      <c r="K16" s="1498" t="s">
        <v>211</v>
      </c>
      <c r="L16" s="132">
        <f>L21+L55</f>
        <v>3497535</v>
      </c>
      <c r="M16" s="1007"/>
      <c r="N16" s="1498">
        <f t="shared" si="0"/>
        <v>99.5</v>
      </c>
      <c r="O16" s="1206" t="e">
        <f>O21+O55</f>
        <v>#VALUE!</v>
      </c>
      <c r="P16" s="1005"/>
      <c r="Q16" s="1515" t="str">
        <f t="shared" si="1"/>
        <v>－</v>
      </c>
      <c r="R16" s="1009"/>
      <c r="S16" s="1506">
        <f>S21</f>
        <v>13667501</v>
      </c>
      <c r="T16" s="113"/>
      <c r="U16" s="1498">
        <f>IF(ISERROR(I16/S16),"－",ROUND(I16/S16*100,1))</f>
        <v>25.7</v>
      </c>
      <c r="V16" s="115" t="s">
        <v>1046</v>
      </c>
      <c r="W16" s="1010"/>
      <c r="X16" s="116"/>
    </row>
    <row r="17" spans="1:26" s="1452" customFormat="1" ht="13.2" hidden="1">
      <c r="A17" s="1501"/>
      <c r="B17" s="1502"/>
      <c r="C17" s="1503"/>
      <c r="D17" s="1504"/>
      <c r="E17" s="1505">
        <f>$E$12</f>
        <v>30</v>
      </c>
      <c r="F17" s="1506">
        <f>F22+F56</f>
        <v>2304299</v>
      </c>
      <c r="G17" s="1507"/>
      <c r="H17" s="1498">
        <f>IF(ISERROR(F17/F16),"－",ROUND(F17/F16*100,1))</f>
        <v>97.7</v>
      </c>
      <c r="I17" s="1506">
        <f>I22+I56</f>
        <v>3384478</v>
      </c>
      <c r="J17" s="1493"/>
      <c r="K17" s="1498">
        <f>IF(ISERROR(I17/I16),"－",ROUND(I17/I16*100,1))</f>
        <v>96.3</v>
      </c>
      <c r="L17" s="1508">
        <f>L22+L56</f>
        <v>3380482</v>
      </c>
      <c r="M17" s="1492"/>
      <c r="N17" s="1498">
        <f t="shared" si="0"/>
        <v>99.9</v>
      </c>
      <c r="O17" s="1508">
        <f>O22</f>
        <v>3996</v>
      </c>
      <c r="P17" s="1494"/>
      <c r="Q17" s="1509">
        <f t="shared" si="1"/>
        <v>0.1</v>
      </c>
      <c r="R17" s="1495"/>
      <c r="S17" s="1506">
        <f>S22</f>
        <v>13768387</v>
      </c>
      <c r="T17" s="1510"/>
      <c r="U17" s="1511">
        <f>IF(ISERROR(I17/S17),"－",ROUND(I17/S17*100,1))</f>
        <v>24.6</v>
      </c>
      <c r="V17" s="1512" t="s">
        <v>211</v>
      </c>
      <c r="W17" s="1513"/>
      <c r="X17" s="1500"/>
    </row>
    <row r="18" spans="1:26" ht="16.5" customHeight="1">
      <c r="A18" s="587"/>
      <c r="B18" s="21"/>
      <c r="C18" s="588" t="s">
        <v>6</v>
      </c>
      <c r="D18" s="540"/>
      <c r="E18" s="589" t="str">
        <f>$E$13</f>
        <v>元</v>
      </c>
      <c r="F18" s="158">
        <f>F23+F57</f>
        <v>2253748</v>
      </c>
      <c r="G18" s="119"/>
      <c r="H18" s="105">
        <f>IF(ISERROR(F18/F17),"－",ROUND(F18/F17*100,1))</f>
        <v>97.8</v>
      </c>
      <c r="I18" s="158">
        <f>I23+I57</f>
        <v>3270837</v>
      </c>
      <c r="J18" s="99"/>
      <c r="K18" s="105">
        <f>IF(ISERROR(I18/I17),"－",ROUND(I18/I17*100,1))</f>
        <v>96.6</v>
      </c>
      <c r="L18" s="1203">
        <f>L23+L57</f>
        <v>3270649</v>
      </c>
      <c r="M18" s="98"/>
      <c r="N18" s="105">
        <f t="shared" si="0"/>
        <v>100</v>
      </c>
      <c r="O18" s="1203">
        <f>O23</f>
        <v>188</v>
      </c>
      <c r="P18" s="101"/>
      <c r="Q18" s="128">
        <f t="shared" si="1"/>
        <v>0</v>
      </c>
      <c r="R18" s="102"/>
      <c r="S18" s="158">
        <f>S23</f>
        <v>13865911</v>
      </c>
      <c r="T18" s="120"/>
      <c r="U18" s="1011">
        <f>IF(ISERROR(I18/S18),"－",ROUND(I18/S18*100,1))</f>
        <v>23.6</v>
      </c>
      <c r="V18" s="106" t="s">
        <v>211</v>
      </c>
      <c r="W18" s="998"/>
      <c r="X18" s="107"/>
    </row>
    <row r="19" spans="1:26" ht="16.5" customHeight="1">
      <c r="A19" s="587"/>
      <c r="B19" s="21"/>
      <c r="C19" s="590" t="s">
        <v>213</v>
      </c>
      <c r="D19" s="540"/>
      <c r="E19" s="589">
        <f>$E$14</f>
        <v>2</v>
      </c>
      <c r="F19" s="158">
        <f>F24+F58</f>
        <v>2219559</v>
      </c>
      <c r="G19" s="119"/>
      <c r="H19" s="105">
        <f>IF(ISERROR(F19/F18),"－",ROUND(F19/F18*100,1))</f>
        <v>98.5</v>
      </c>
      <c r="I19" s="158">
        <f>I24+I58</f>
        <v>3199071</v>
      </c>
      <c r="J19" s="99"/>
      <c r="K19" s="105">
        <f>IF(ISERROR(I19/I18),"－",ROUND(I19/I18*100,1))</f>
        <v>97.8</v>
      </c>
      <c r="L19" s="1203">
        <f>L24+L58</f>
        <v>3199070</v>
      </c>
      <c r="M19" s="98"/>
      <c r="N19" s="105">
        <f t="shared" si="0"/>
        <v>100</v>
      </c>
      <c r="O19" s="1203">
        <f>O24</f>
        <v>1</v>
      </c>
      <c r="P19" s="101"/>
      <c r="Q19" s="128">
        <f t="shared" si="1"/>
        <v>0</v>
      </c>
      <c r="R19" s="102"/>
      <c r="S19" s="158">
        <f>S24</f>
        <v>13840468</v>
      </c>
      <c r="T19" s="120"/>
      <c r="U19" s="1011">
        <f>IF(ISERROR(I19/S19),"－",ROUND(I19/S19*100,1))</f>
        <v>23.1</v>
      </c>
      <c r="V19" s="106" t="s">
        <v>211</v>
      </c>
      <c r="W19" s="998"/>
      <c r="X19" s="107"/>
    </row>
    <row r="20" spans="1:26" s="11" customFormat="1" ht="17.399999999999999" customHeight="1" thickBot="1">
      <c r="A20" s="509"/>
      <c r="B20" s="591"/>
      <c r="C20" s="592"/>
      <c r="D20" s="593"/>
      <c r="E20" s="594">
        <f>$E$15</f>
        <v>3</v>
      </c>
      <c r="F20" s="1021">
        <f>F25+F59</f>
        <v>2164325</v>
      </c>
      <c r="G20" s="1013"/>
      <c r="H20" s="1014">
        <f>IF(ISERROR(F20/F19),"－",ROUND(F20/F19*100,1))</f>
        <v>97.5</v>
      </c>
      <c r="I20" s="1021">
        <f>I25+I59</f>
        <v>3092350</v>
      </c>
      <c r="J20" s="1015"/>
      <c r="K20" s="1016">
        <f>IF(ISERROR(I20/I19),"－",ROUND(I20/I19*100,1))</f>
        <v>96.7</v>
      </c>
      <c r="L20" s="1205">
        <f>L25+L59</f>
        <v>3092350</v>
      </c>
      <c r="M20" s="1018"/>
      <c r="N20" s="1016">
        <f t="shared" si="0"/>
        <v>100</v>
      </c>
      <c r="O20" s="1205">
        <f>O25</f>
        <v>0</v>
      </c>
      <c r="P20" s="1012"/>
      <c r="Q20" s="1019">
        <f t="shared" si="1"/>
        <v>0</v>
      </c>
      <c r="R20" s="1020"/>
      <c r="S20" s="1021">
        <f>S25</f>
        <v>13802273</v>
      </c>
      <c r="T20" s="1022"/>
      <c r="U20" s="1014">
        <f>IF(ISERROR(I20/S20),"－",ROUND(I20/S20*100,1))</f>
        <v>22.4</v>
      </c>
      <c r="V20" s="122" t="s">
        <v>211</v>
      </c>
      <c r="W20" s="1023"/>
      <c r="X20" s="112"/>
    </row>
    <row r="21" spans="1:26" s="117" customFormat="1" ht="17.399999999999999" hidden="1" customHeight="1" thickTop="1">
      <c r="A21" s="583"/>
      <c r="B21" s="584"/>
      <c r="C21" s="595"/>
      <c r="D21" s="596"/>
      <c r="E21" s="586">
        <f>$E$11</f>
        <v>29</v>
      </c>
      <c r="F21" s="132">
        <f>F27+F33</f>
        <v>2145033</v>
      </c>
      <c r="G21" s="1006"/>
      <c r="H21" s="1498" t="s">
        <v>211</v>
      </c>
      <c r="I21" s="132">
        <f>I27+I33</f>
        <v>3110257</v>
      </c>
      <c r="J21" s="1024"/>
      <c r="K21" s="1498" t="s">
        <v>211</v>
      </c>
      <c r="L21" s="1206">
        <f>L27+L33</f>
        <v>3092914</v>
      </c>
      <c r="M21" s="1007"/>
      <c r="N21" s="1498">
        <f t="shared" si="0"/>
        <v>99.4</v>
      </c>
      <c r="O21" s="1206">
        <f>O27+O33</f>
        <v>17343</v>
      </c>
      <c r="P21" s="1005"/>
      <c r="Q21" s="1008">
        <f t="shared" si="1"/>
        <v>0.6</v>
      </c>
      <c r="R21" s="1009"/>
      <c r="S21" s="132">
        <f>S27+S33</f>
        <v>13667501</v>
      </c>
      <c r="T21" s="113"/>
      <c r="U21" s="1498" t="s">
        <v>211</v>
      </c>
      <c r="V21" s="115" t="s">
        <v>1046</v>
      </c>
      <c r="W21" s="1010"/>
      <c r="X21" s="116"/>
    </row>
    <row r="22" spans="1:26" s="1452" customFormat="1" ht="16.5" hidden="1" customHeight="1">
      <c r="A22" s="1516"/>
      <c r="B22" s="1503"/>
      <c r="C22" s="1503"/>
      <c r="D22" s="1517"/>
      <c r="E22" s="1505">
        <f>$E$12</f>
        <v>30</v>
      </c>
      <c r="F22" s="1506">
        <f>F28+F34</f>
        <v>2091545</v>
      </c>
      <c r="G22" s="1492"/>
      <c r="H22" s="1498">
        <f>IF(ISERROR(F22/F21),"－",ROUND(F22/F21*100,1))</f>
        <v>97.5</v>
      </c>
      <c r="I22" s="1506">
        <f>I28+I34</f>
        <v>2986641</v>
      </c>
      <c r="J22" s="1493"/>
      <c r="K22" s="1498">
        <f>IF(ISERROR(I22/I21),"－",ROUND(I22/I21*100,1))</f>
        <v>96</v>
      </c>
      <c r="L22" s="1508">
        <f>L28+L34</f>
        <v>2982645</v>
      </c>
      <c r="M22" s="1492"/>
      <c r="N22" s="1498">
        <f t="shared" si="0"/>
        <v>99.9</v>
      </c>
      <c r="O22" s="1508">
        <f>O28+O34</f>
        <v>3996</v>
      </c>
      <c r="P22" s="1494"/>
      <c r="Q22" s="1509">
        <f t="shared" si="1"/>
        <v>0.1</v>
      </c>
      <c r="R22" s="1495"/>
      <c r="S22" s="1518">
        <f>S28+S34</f>
        <v>13768387</v>
      </c>
      <c r="T22" s="1510"/>
      <c r="U22" s="1511">
        <f>IF(ISERROR(I22/S22),"－",ROUND(I22/S22*100,1))</f>
        <v>21.7</v>
      </c>
      <c r="V22" s="1499">
        <f>IF(ISERROR(I22/F22),"－",ROUND(I22/F22,2))</f>
        <v>1.43</v>
      </c>
      <c r="W22" s="1513"/>
      <c r="X22" s="1500"/>
    </row>
    <row r="23" spans="1:26" ht="16.5" customHeight="1" thickTop="1">
      <c r="A23" s="953" t="s">
        <v>599</v>
      </c>
      <c r="B23" s="1198"/>
      <c r="C23" s="1198"/>
      <c r="D23" s="1199"/>
      <c r="E23" s="589" t="str">
        <f>$E$13</f>
        <v>元</v>
      </c>
      <c r="F23" s="158">
        <f>F29+F35</f>
        <v>2041149</v>
      </c>
      <c r="G23" s="98"/>
      <c r="H23" s="105">
        <f>IF(ISERROR(F23/F22),"－",ROUND(F23/F22*100,1))</f>
        <v>97.6</v>
      </c>
      <c r="I23" s="158">
        <f>I29+I35</f>
        <v>2877664</v>
      </c>
      <c r="J23" s="99"/>
      <c r="K23" s="105">
        <f>IF(ISERROR(I23/I22),"－",ROUND(I23/I22*100,1))</f>
        <v>96.4</v>
      </c>
      <c r="L23" s="1203">
        <f>L29+L35</f>
        <v>2877476</v>
      </c>
      <c r="M23" s="98"/>
      <c r="N23" s="105">
        <f t="shared" si="0"/>
        <v>100</v>
      </c>
      <c r="O23" s="1203">
        <f>O29+O35</f>
        <v>188</v>
      </c>
      <c r="P23" s="101"/>
      <c r="Q23" s="128">
        <f t="shared" si="1"/>
        <v>0</v>
      </c>
      <c r="R23" s="102"/>
      <c r="S23" s="1026">
        <f>S29+S35</f>
        <v>13865911</v>
      </c>
      <c r="T23" s="120"/>
      <c r="U23" s="1011">
        <f>IF(ISERROR(I23/S23),"－",ROUND(I23/S23*100,1))</f>
        <v>20.8</v>
      </c>
      <c r="V23" s="106">
        <f>IF(ISERROR(I23/F23),"－",ROUND(I23/F23,2))</f>
        <v>1.41</v>
      </c>
      <c r="W23" s="998"/>
      <c r="X23" s="107"/>
    </row>
    <row r="24" spans="1:26" ht="16.5" customHeight="1">
      <c r="A24" s="578"/>
      <c r="B24" s="21"/>
      <c r="C24" s="493" t="s">
        <v>214</v>
      </c>
      <c r="D24" s="540"/>
      <c r="E24" s="589">
        <f>$E$14</f>
        <v>2</v>
      </c>
      <c r="F24" s="158">
        <f>F30+F36</f>
        <v>2009127</v>
      </c>
      <c r="G24" s="98"/>
      <c r="H24" s="105">
        <f>IF(ISERROR(F24/F23),"－",ROUND(F24/F23*100,1))</f>
        <v>98.4</v>
      </c>
      <c r="I24" s="158">
        <f>I30+I36</f>
        <v>2812525</v>
      </c>
      <c r="J24" s="99"/>
      <c r="K24" s="105">
        <f>IF(ISERROR(I24/I23),"－",ROUND(I24/I23*100,1))</f>
        <v>97.7</v>
      </c>
      <c r="L24" s="1203">
        <f>L30+L36</f>
        <v>2812524</v>
      </c>
      <c r="M24" s="98"/>
      <c r="N24" s="105">
        <f t="shared" si="0"/>
        <v>100</v>
      </c>
      <c r="O24" s="1203">
        <f>O30+O36</f>
        <v>1</v>
      </c>
      <c r="P24" s="101"/>
      <c r="Q24" s="128">
        <f t="shared" si="1"/>
        <v>0</v>
      </c>
      <c r="R24" s="102"/>
      <c r="S24" s="1026">
        <f>S30+S36</f>
        <v>13840468</v>
      </c>
      <c r="T24" s="120"/>
      <c r="U24" s="1011">
        <f>IF(ISERROR(I24/S24),"－",ROUND(I24/S24*100,1))</f>
        <v>20.3</v>
      </c>
      <c r="V24" s="106">
        <f>IF(ISERROR(I24/F24),"－",ROUND(I24/F24,2))</f>
        <v>1.4</v>
      </c>
      <c r="W24" s="998"/>
      <c r="X24" s="107"/>
    </row>
    <row r="25" spans="1:26" s="11" customFormat="1" ht="17.399999999999999" customHeight="1">
      <c r="A25" s="579"/>
      <c r="B25" s="580"/>
      <c r="C25" s="580"/>
      <c r="D25" s="581"/>
      <c r="E25" s="598">
        <f>$E$15</f>
        <v>3</v>
      </c>
      <c r="F25" s="159">
        <f>F31+F37</f>
        <v>1955116</v>
      </c>
      <c r="G25" s="999"/>
      <c r="H25" s="1027">
        <f>IF(ISERROR(F25/F24),"－",ROUND(F25/F24*100,1))</f>
        <v>97.3</v>
      </c>
      <c r="I25" s="159">
        <f>I31+I37</f>
        <v>2711517</v>
      </c>
      <c r="J25" s="1028"/>
      <c r="K25" s="110">
        <f>IF(ISERROR(I25/I24),"－",ROUND(I25/I24*100,1))</f>
        <v>96.4</v>
      </c>
      <c r="L25" s="1204">
        <f>L31+L37</f>
        <v>2711517</v>
      </c>
      <c r="M25" s="1001"/>
      <c r="N25" s="110">
        <f t="shared" si="0"/>
        <v>100</v>
      </c>
      <c r="O25" s="1204">
        <f>O31+O37</f>
        <v>0</v>
      </c>
      <c r="P25" s="1000"/>
      <c r="Q25" s="1002">
        <f t="shared" si="1"/>
        <v>0</v>
      </c>
      <c r="R25" s="1003"/>
      <c r="S25" s="1204">
        <f>S31+S37</f>
        <v>13802273</v>
      </c>
      <c r="T25" s="109"/>
      <c r="U25" s="1027">
        <f>IF(ISERROR(I25/S25),"－",ROUND(I25/S25*100,1))</f>
        <v>19.600000000000001</v>
      </c>
      <c r="V25" s="111">
        <f>IF(ISERROR(I25/F25),"－",ROUND(I25/F25,2))</f>
        <v>1.39</v>
      </c>
      <c r="W25" s="1004"/>
      <c r="X25" s="112"/>
    </row>
    <row r="26" spans="1:26" s="117" customFormat="1" ht="17.399999999999999" hidden="1" customHeight="1">
      <c r="A26" s="583"/>
      <c r="B26" s="1522"/>
      <c r="C26" s="1525"/>
      <c r="D26" s="1526"/>
      <c r="E26" s="1527"/>
      <c r="F26" s="1528" t="s">
        <v>1043</v>
      </c>
      <c r="G26" s="1006"/>
      <c r="H26" s="1498"/>
      <c r="I26" s="1528" t="s">
        <v>1044</v>
      </c>
      <c r="J26" s="1024"/>
      <c r="K26" s="1498"/>
      <c r="L26" s="1528" t="s">
        <v>1047</v>
      </c>
      <c r="M26" s="1007"/>
      <c r="N26" s="1498"/>
      <c r="O26" s="1528" t="s">
        <v>1048</v>
      </c>
      <c r="P26" s="1405"/>
      <c r="Q26" s="1008"/>
      <c r="R26" s="1009"/>
      <c r="S26" s="1496" t="s">
        <v>211</v>
      </c>
      <c r="T26" s="113"/>
      <c r="U26" s="1498"/>
      <c r="V26" s="1499"/>
      <c r="W26" s="1010"/>
      <c r="X26" s="116"/>
    </row>
    <row r="27" spans="1:26" s="117" customFormat="1" ht="17.399999999999999" hidden="1" customHeight="1">
      <c r="A27" s="583"/>
      <c r="B27" s="1523"/>
      <c r="C27" s="584"/>
      <c r="D27" s="585"/>
      <c r="E27" s="1524">
        <f>$E$11</f>
        <v>29</v>
      </c>
      <c r="F27" s="1206">
        <v>1517742</v>
      </c>
      <c r="G27" s="1006"/>
      <c r="H27" s="1498" t="s">
        <v>1046</v>
      </c>
      <c r="I27" s="132">
        <v>2148917</v>
      </c>
      <c r="J27" s="1024"/>
      <c r="K27" s="1498" t="s">
        <v>1046</v>
      </c>
      <c r="L27" s="1206">
        <v>2137861</v>
      </c>
      <c r="M27" s="1007"/>
      <c r="N27" s="1498">
        <f>IF(ISERROR(L27/I27),"－",ROUND(L27/I27*100,1))</f>
        <v>99.5</v>
      </c>
      <c r="O27" s="1206">
        <v>11056</v>
      </c>
      <c r="P27" s="1614"/>
      <c r="Q27" s="1008">
        <f>IF(ISERROR(O27/I27),"－",ROUND(O27/I27*100,1))</f>
        <v>0.5</v>
      </c>
      <c r="R27" s="1009"/>
      <c r="S27" s="132">
        <v>9426273</v>
      </c>
      <c r="T27" s="113"/>
      <c r="U27" s="1498" t="s">
        <v>1046</v>
      </c>
      <c r="V27" s="1499">
        <f>IF(ISERROR(I27/F27),"－",ROUND(I27/F27,2))</f>
        <v>1.42</v>
      </c>
      <c r="W27" s="1010"/>
      <c r="X27" s="116"/>
    </row>
    <row r="28" spans="1:26" s="1452" customFormat="1" ht="16.5" hidden="1" customHeight="1">
      <c r="A28" s="1501"/>
      <c r="B28" s="1489"/>
      <c r="C28" s="1489"/>
      <c r="D28" s="1490"/>
      <c r="E28" s="1491">
        <f>$E$12</f>
        <v>30</v>
      </c>
      <c r="F28" s="1508">
        <v>1480017</v>
      </c>
      <c r="G28" s="1492"/>
      <c r="H28" s="1498">
        <f>IF(ISERROR(F28/F27),"－",ROUND(F28/F27*100,1))</f>
        <v>97.5</v>
      </c>
      <c r="I28" s="1506">
        <v>2063769</v>
      </c>
      <c r="J28" s="1493"/>
      <c r="K28" s="1498">
        <f>IF(ISERROR(I28/I27),"－",ROUND(I28/I27*100,1))</f>
        <v>96</v>
      </c>
      <c r="L28" s="1508">
        <v>2061116</v>
      </c>
      <c r="M28" s="1492"/>
      <c r="N28" s="1498">
        <f>IF(ISERROR(L28/I28),"－",ROUND(L28/I28*100,1))</f>
        <v>99.9</v>
      </c>
      <c r="O28" s="1508">
        <v>2653</v>
      </c>
      <c r="P28" s="1494"/>
      <c r="Q28" s="1509">
        <f>IF(ISERROR(O28/I28),"－",ROUND(O28/I28*100,1))</f>
        <v>0.1</v>
      </c>
      <c r="R28" s="1495"/>
      <c r="S28" s="1506">
        <v>9514625</v>
      </c>
      <c r="T28" s="1510"/>
      <c r="U28" s="1511">
        <f>IF(ISERROR(I28/S28),"－",ROUND(I28/S28*100,1))</f>
        <v>21.7</v>
      </c>
      <c r="V28" s="1499">
        <f>IF(ISERROR(I28/F28),"－",ROUND(I28/F28,2))</f>
        <v>1.39</v>
      </c>
      <c r="W28" s="1513"/>
      <c r="X28" s="1500"/>
    </row>
    <row r="29" spans="1:26" ht="16.5" customHeight="1">
      <c r="A29" s="587"/>
      <c r="B29" s="575"/>
      <c r="C29" s="575" t="s">
        <v>215</v>
      </c>
      <c r="D29" s="540"/>
      <c r="E29" s="599" t="str">
        <f>$E$13</f>
        <v>元</v>
      </c>
      <c r="F29" s="1203">
        <v>1439655</v>
      </c>
      <c r="G29" s="98"/>
      <c r="H29" s="105">
        <f>IF(ISERROR(F29/F28),"－",ROUND(F29/F28*100,1))</f>
        <v>97.3</v>
      </c>
      <c r="I29" s="158">
        <v>1982079</v>
      </c>
      <c r="J29" s="99"/>
      <c r="K29" s="105">
        <f>IF(ISERROR(I29/I28),"－",ROUND(I29/I28*100,1))</f>
        <v>96</v>
      </c>
      <c r="L29" s="1203">
        <v>1981944</v>
      </c>
      <c r="M29" s="98"/>
      <c r="N29" s="105">
        <f>IF(ISERROR(L29/I29),"－",ROUND(L29/I29*100,1))</f>
        <v>100</v>
      </c>
      <c r="O29" s="1203">
        <v>135</v>
      </c>
      <c r="P29" s="101"/>
      <c r="Q29" s="128">
        <f>IF(ISERROR(O29/I29),"－",ROUND(O29/I29*100,1))</f>
        <v>0</v>
      </c>
      <c r="R29" s="102"/>
      <c r="S29" s="158">
        <v>9599585</v>
      </c>
      <c r="T29" s="120"/>
      <c r="U29" s="1011">
        <f>IF(ISERROR(I29/S29),"－",ROUND(I29/S29*100,1))</f>
        <v>20.6</v>
      </c>
      <c r="V29" s="106">
        <f>IF(ISERROR(I29/F29),"－",ROUND(I29/F29,2))</f>
        <v>1.38</v>
      </c>
      <c r="W29" s="998"/>
      <c r="X29" s="107"/>
      <c r="Z29" s="1297"/>
    </row>
    <row r="30" spans="1:26" ht="16.5" customHeight="1">
      <c r="A30" s="587"/>
      <c r="D30" s="540"/>
      <c r="E30" s="599">
        <f>$E$14</f>
        <v>2</v>
      </c>
      <c r="F30" s="1203">
        <v>1410048</v>
      </c>
      <c r="G30" s="98"/>
      <c r="H30" s="105">
        <f>IF(ISERROR(F30/F29),"－",ROUND(F30/F29*100,1))</f>
        <v>97.9</v>
      </c>
      <c r="I30" s="158">
        <v>1928366</v>
      </c>
      <c r="J30" s="99"/>
      <c r="K30" s="105">
        <f>IF(ISERROR(I30/I29),"－",ROUND(I30/I29*100,1))</f>
        <v>97.3</v>
      </c>
      <c r="L30" s="1203">
        <v>1928365</v>
      </c>
      <c r="M30" s="98"/>
      <c r="N30" s="105">
        <f>IF(ISERROR(L30/I30),"－",ROUND(L30/I30*100,1))</f>
        <v>100</v>
      </c>
      <c r="O30" s="1203">
        <v>1</v>
      </c>
      <c r="P30" s="101"/>
      <c r="Q30" s="128">
        <f>IF(ISERROR(O30/I30),"－",ROUND(O30/I30*100,1))</f>
        <v>0</v>
      </c>
      <c r="R30" s="102"/>
      <c r="S30" s="158">
        <v>9569414</v>
      </c>
      <c r="T30" s="120"/>
      <c r="U30" s="1011">
        <f>IF(ISERROR(I30/S30),"－",ROUND(I30/S30*100,1))</f>
        <v>20.2</v>
      </c>
      <c r="V30" s="106">
        <f>IF(ISERROR(I30/F30),"－",ROUND(I30/F30,2))</f>
        <v>1.37</v>
      </c>
      <c r="W30" s="998"/>
      <c r="X30" s="107"/>
    </row>
    <row r="31" spans="1:26" s="11" customFormat="1" ht="17.399999999999999" customHeight="1">
      <c r="A31" s="506"/>
      <c r="B31" s="580"/>
      <c r="C31" s="580"/>
      <c r="D31" s="581"/>
      <c r="E31" s="598">
        <f>$E$15</f>
        <v>3</v>
      </c>
      <c r="F31" s="1204">
        <v>1365382</v>
      </c>
      <c r="G31" s="999"/>
      <c r="H31" s="1027">
        <f>IF(ISERROR(F31/F30),"－",ROUND(F31/F30*100,1))</f>
        <v>96.8</v>
      </c>
      <c r="I31" s="159">
        <v>1850486</v>
      </c>
      <c r="J31" s="1028"/>
      <c r="K31" s="110">
        <f>IF(ISERROR(I31/I30),"－",ROUND(I31/I30*100,1))</f>
        <v>96</v>
      </c>
      <c r="L31" s="1204">
        <v>1850486</v>
      </c>
      <c r="M31" s="1001"/>
      <c r="N31" s="110">
        <f>IF(ISERROR(L31/I31),"－",ROUND(L31/I31*100,1))</f>
        <v>100</v>
      </c>
      <c r="O31" s="1204">
        <v>0</v>
      </c>
      <c r="P31" s="1000"/>
      <c r="Q31" s="1002">
        <f>IF(ISERROR(O31/I31),"－",ROUND(O31/I31*100,1))</f>
        <v>0</v>
      </c>
      <c r="R31" s="1003"/>
      <c r="S31" s="159">
        <v>9532279</v>
      </c>
      <c r="T31" s="109"/>
      <c r="U31" s="1027">
        <f>IF(ISERROR(I31/S31),"－",ROUND(I31/S31*100,1))</f>
        <v>19.399999999999999</v>
      </c>
      <c r="V31" s="111">
        <f>IF(ISERROR(I31/F31),"－",ROUND(I31/F31,2))</f>
        <v>1.36</v>
      </c>
      <c r="W31" s="1004"/>
      <c r="X31" s="112"/>
    </row>
    <row r="32" spans="1:26" s="117" customFormat="1" ht="17.399999999999999" hidden="1" customHeight="1">
      <c r="A32" s="583"/>
      <c r="B32" s="1522"/>
      <c r="C32" s="1525"/>
      <c r="D32" s="1526"/>
      <c r="E32" s="1527"/>
      <c r="F32" s="1528" t="s">
        <v>1043</v>
      </c>
      <c r="G32" s="1006"/>
      <c r="H32" s="1498"/>
      <c r="I32" s="1528" t="s">
        <v>1044</v>
      </c>
      <c r="J32" s="1024"/>
      <c r="K32" s="1498"/>
      <c r="L32" s="1528" t="s">
        <v>1047</v>
      </c>
      <c r="M32" s="1007"/>
      <c r="N32" s="1498"/>
      <c r="O32" s="1528" t="s">
        <v>1048</v>
      </c>
      <c r="P32" s="1405"/>
      <c r="Q32" s="1008"/>
      <c r="R32" s="1009"/>
      <c r="S32" s="1496" t="s">
        <v>211</v>
      </c>
      <c r="T32" s="113"/>
      <c r="U32" s="1498"/>
      <c r="V32" s="1499"/>
      <c r="W32" s="1010"/>
      <c r="X32" s="116"/>
    </row>
    <row r="33" spans="1:24" s="117" customFormat="1" ht="17.399999999999999" hidden="1" customHeight="1">
      <c r="A33" s="600"/>
      <c r="B33" s="584"/>
      <c r="C33" s="584"/>
      <c r="D33" s="585"/>
      <c r="E33" s="1524">
        <f>$E$11</f>
        <v>29</v>
      </c>
      <c r="F33" s="132">
        <f>F39+F44</f>
        <v>627291</v>
      </c>
      <c r="G33" s="1006"/>
      <c r="H33" s="114" t="s">
        <v>1046</v>
      </c>
      <c r="I33" s="132">
        <f>I39+I44</f>
        <v>961340</v>
      </c>
      <c r="J33" s="1024"/>
      <c r="K33" s="114" t="s">
        <v>1046</v>
      </c>
      <c r="L33" s="1508">
        <f>L39+L44</f>
        <v>955053</v>
      </c>
      <c r="M33" s="1007"/>
      <c r="N33" s="1498">
        <f>IF(ISERROR(L33/I33),"－",ROUND(L33/I33*100,1))</f>
        <v>99.3</v>
      </c>
      <c r="O33" s="1206">
        <f>O39+O44</f>
        <v>6287</v>
      </c>
      <c r="P33" s="1005"/>
      <c r="Q33" s="1008">
        <f>IF(ISERROR(O33/I33),"－",ROUND(O33/I33*100,1))</f>
        <v>0.7</v>
      </c>
      <c r="R33" s="1009"/>
      <c r="S33" s="1508">
        <f>S39+S44</f>
        <v>4241228</v>
      </c>
      <c r="T33" s="113"/>
      <c r="U33" s="1025">
        <f>IF(ISERROR(I33/S33),"－",ROUND(I33/S33*100,1))</f>
        <v>22.7</v>
      </c>
      <c r="V33" s="115">
        <f>IF(ISERROR(I33/F33),"－",ROUND(I33/F33,2))</f>
        <v>1.53</v>
      </c>
      <c r="W33" s="1010"/>
      <c r="X33" s="116"/>
    </row>
    <row r="34" spans="1:24" s="1452" customFormat="1" ht="16.5" hidden="1" customHeight="1">
      <c r="A34" s="1501"/>
      <c r="B34" s="1489"/>
      <c r="C34" s="1489"/>
      <c r="D34" s="1490"/>
      <c r="E34" s="1491">
        <f>$E$12</f>
        <v>30</v>
      </c>
      <c r="F34" s="1506">
        <f>F40+F45</f>
        <v>611528</v>
      </c>
      <c r="G34" s="1492"/>
      <c r="H34" s="1498">
        <f>IF(ISERROR(F34/F33),"－",ROUND(F34/F33*100,1))</f>
        <v>97.5</v>
      </c>
      <c r="I34" s="1506">
        <f>I40+I45</f>
        <v>922872</v>
      </c>
      <c r="J34" s="1493"/>
      <c r="K34" s="1498">
        <f>IF(ISERROR(I34/I33),"－",ROUND(I34/I33*100,1))</f>
        <v>96</v>
      </c>
      <c r="L34" s="1508">
        <f>L40+L45</f>
        <v>921529</v>
      </c>
      <c r="M34" s="1492"/>
      <c r="N34" s="1498">
        <f>IF(ISERROR(L34/I34),"－",ROUND(L34/I34*100,1))</f>
        <v>99.9</v>
      </c>
      <c r="O34" s="1508">
        <f>O40+O45</f>
        <v>1343</v>
      </c>
      <c r="P34" s="1494"/>
      <c r="Q34" s="1509">
        <f>IF(ISERROR(O34/I34),"－",ROUND(O34/I34*100,1))</f>
        <v>0.1</v>
      </c>
      <c r="R34" s="1495"/>
      <c r="S34" s="1508">
        <f>S40+S45</f>
        <v>4253762</v>
      </c>
      <c r="T34" s="1510"/>
      <c r="U34" s="1511">
        <f>IF(ISERROR(I34/S34),"－",ROUND(I34/S34*100,1))</f>
        <v>21.7</v>
      </c>
      <c r="V34" s="1499">
        <f>IF(ISERROR(I34/F34),"－",ROUND(I34/F34,2))</f>
        <v>1.51</v>
      </c>
      <c r="W34" s="1513"/>
      <c r="X34" s="1500"/>
    </row>
    <row r="35" spans="1:24" ht="16.5" customHeight="1">
      <c r="A35" s="587"/>
      <c r="B35" s="575"/>
      <c r="C35" s="590" t="s">
        <v>216</v>
      </c>
      <c r="D35" s="540"/>
      <c r="E35" s="599" t="str">
        <f>$E$13</f>
        <v>元</v>
      </c>
      <c r="F35" s="158">
        <f>F41+F46</f>
        <v>601494</v>
      </c>
      <c r="G35" s="98"/>
      <c r="H35" s="105">
        <f>IF(ISERROR(F35/F34),"－",ROUND(F35/F34*100,1))</f>
        <v>98.4</v>
      </c>
      <c r="I35" s="158">
        <f>I41+I46</f>
        <v>895585</v>
      </c>
      <c r="J35" s="99"/>
      <c r="K35" s="105">
        <f>IF(ISERROR(I35/I34),"－",ROUND(I35/I34*100,1))</f>
        <v>97</v>
      </c>
      <c r="L35" s="1203">
        <f>L41+L46</f>
        <v>895532</v>
      </c>
      <c r="M35" s="98"/>
      <c r="N35" s="105">
        <f>IF(ISERROR(L35/I35),"－",ROUND(L35/I35*100,1))</f>
        <v>100</v>
      </c>
      <c r="O35" s="1203">
        <f>O41+O46</f>
        <v>53</v>
      </c>
      <c r="P35" s="101"/>
      <c r="Q35" s="128">
        <f>IF(ISERROR(O35/I35),"－",ROUND(O35/I35*100,1))</f>
        <v>0</v>
      </c>
      <c r="R35" s="102"/>
      <c r="S35" s="1203">
        <f>S41+S46</f>
        <v>4266326</v>
      </c>
      <c r="T35" s="120"/>
      <c r="U35" s="1011">
        <f>IF(ISERROR(I35/S35),"－",ROUND(I35/S35*100,1))</f>
        <v>21</v>
      </c>
      <c r="V35" s="106">
        <f>IF(ISERROR(I35/F35),"－",ROUND(I35/F35,2))</f>
        <v>1.49</v>
      </c>
      <c r="W35" s="998"/>
      <c r="X35" s="107"/>
    </row>
    <row r="36" spans="1:24" ht="16.5" customHeight="1">
      <c r="A36" s="587"/>
      <c r="D36" s="540"/>
      <c r="E36" s="599">
        <f>$E$14</f>
        <v>2</v>
      </c>
      <c r="F36" s="158">
        <f>F42+F47</f>
        <v>599079</v>
      </c>
      <c r="G36" s="98"/>
      <c r="H36" s="105">
        <f>IF(ISERROR(F36/F35),"－",ROUND(F36/F35*100,1))</f>
        <v>99.6</v>
      </c>
      <c r="I36" s="158">
        <f>I42+I47</f>
        <v>884159</v>
      </c>
      <c r="J36" s="99"/>
      <c r="K36" s="105">
        <f>IF(ISERROR(I36/I35),"－",ROUND(I36/I35*100,1))</f>
        <v>98.7</v>
      </c>
      <c r="L36" s="1203">
        <f>L42+L47</f>
        <v>884159</v>
      </c>
      <c r="M36" s="98"/>
      <c r="N36" s="105">
        <f>IF(ISERROR(L36/I36),"－",ROUND(L36/I36*100,1))</f>
        <v>100</v>
      </c>
      <c r="O36" s="1203">
        <f>O42+O47</f>
        <v>0</v>
      </c>
      <c r="P36" s="101"/>
      <c r="Q36" s="128">
        <f>IF(ISERROR(O36/I36),"－",ROUND(O36/I36*100,1))</f>
        <v>0</v>
      </c>
      <c r="R36" s="102"/>
      <c r="S36" s="1203">
        <f>S42+S47</f>
        <v>4271054</v>
      </c>
      <c r="T36" s="120"/>
      <c r="U36" s="1011">
        <f>IF(ISERROR(I36/S36),"－",ROUND(I36/S36*100,1))</f>
        <v>20.7</v>
      </c>
      <c r="V36" s="106">
        <f>IF(ISERROR(I36/F36),"－",ROUND(I36/F36,2))</f>
        <v>1.48</v>
      </c>
      <c r="W36" s="998"/>
      <c r="X36" s="107"/>
    </row>
    <row r="37" spans="1:24" s="11" customFormat="1" ht="17.399999999999999" customHeight="1">
      <c r="A37" s="506"/>
      <c r="B37" s="601"/>
      <c r="C37" s="580"/>
      <c r="D37" s="581"/>
      <c r="E37" s="598">
        <f>$E$15</f>
        <v>3</v>
      </c>
      <c r="F37" s="159">
        <f>F43+F48</f>
        <v>589734</v>
      </c>
      <c r="G37" s="999"/>
      <c r="H37" s="1027">
        <f>IF(ISERROR(F37/F36),"－",ROUND(F37/F36*100,1))</f>
        <v>98.4</v>
      </c>
      <c r="I37" s="159">
        <f>I43+I48</f>
        <v>861031</v>
      </c>
      <c r="J37" s="1028"/>
      <c r="K37" s="110">
        <f>IF(ISERROR(I37/I36),"－",ROUND(I37/I36*100,1))</f>
        <v>97.4</v>
      </c>
      <c r="L37" s="1204">
        <f>L43+L48</f>
        <v>861031</v>
      </c>
      <c r="M37" s="1001"/>
      <c r="N37" s="110">
        <f>IF(ISERROR(L37/I37),"－",ROUND(L37/I37*100,1))</f>
        <v>100</v>
      </c>
      <c r="O37" s="1204">
        <f>O43+O48</f>
        <v>0</v>
      </c>
      <c r="P37" s="1000"/>
      <c r="Q37" s="1002">
        <f>IF(ISERROR(O37/I37),"－",ROUND(O37/I37*100,1))</f>
        <v>0</v>
      </c>
      <c r="R37" s="1003"/>
      <c r="S37" s="1204">
        <f>S43+S48</f>
        <v>4269994</v>
      </c>
      <c r="T37" s="109"/>
      <c r="U37" s="1027">
        <f>IF(ISERROR(I37/S37),"－",ROUND(I37/S37*100,1))</f>
        <v>20.2</v>
      </c>
      <c r="V37" s="111">
        <f>IF(ISERROR(I37/F37),"－",ROUND(I37/F37,2))</f>
        <v>1.46</v>
      </c>
      <c r="W37" s="1004"/>
      <c r="X37" s="112"/>
    </row>
    <row r="38" spans="1:24" s="117" customFormat="1" ht="13.5" hidden="1" customHeight="1">
      <c r="A38" s="583"/>
      <c r="B38" s="1522"/>
      <c r="C38" s="1522"/>
      <c r="D38" s="1526"/>
      <c r="E38" s="1527"/>
      <c r="F38" s="1528" t="s">
        <v>1043</v>
      </c>
      <c r="G38" s="1006"/>
      <c r="H38" s="1498"/>
      <c r="I38" s="1528" t="s">
        <v>1044</v>
      </c>
      <c r="J38" s="1024"/>
      <c r="K38" s="1498"/>
      <c r="L38" s="1528" t="s">
        <v>1047</v>
      </c>
      <c r="M38" s="1007"/>
      <c r="N38" s="1498"/>
      <c r="O38" s="1528" t="s">
        <v>1048</v>
      </c>
      <c r="P38" s="1405"/>
      <c r="Q38" s="1008"/>
      <c r="R38" s="1009"/>
      <c r="S38" s="1496" t="s">
        <v>211</v>
      </c>
      <c r="T38" s="113"/>
      <c r="U38" s="1498"/>
      <c r="V38" s="1499"/>
      <c r="W38" s="1010"/>
      <c r="X38" s="116"/>
    </row>
    <row r="39" spans="1:24" s="117" customFormat="1" ht="13.2" hidden="1">
      <c r="A39" s="600"/>
      <c r="B39" s="584"/>
      <c r="C39" s="1523"/>
      <c r="D39" s="585"/>
      <c r="E39" s="586">
        <f>$E$11</f>
        <v>29</v>
      </c>
      <c r="F39" s="1206">
        <v>621182</v>
      </c>
      <c r="G39" s="1006"/>
      <c r="H39" s="114" t="s">
        <v>1046</v>
      </c>
      <c r="I39" s="132">
        <v>951804</v>
      </c>
      <c r="J39" s="1024"/>
      <c r="K39" s="114" t="s">
        <v>1046</v>
      </c>
      <c r="L39" s="1206">
        <v>945544</v>
      </c>
      <c r="M39" s="1007"/>
      <c r="N39" s="1498">
        <f>IF(ISERROR(L39/I39),"－",ROUND(L39/I39*100,1))</f>
        <v>99.3</v>
      </c>
      <c r="O39" s="1206">
        <v>6260</v>
      </c>
      <c r="P39" s="1614"/>
      <c r="Q39" s="1509">
        <f>IF(ISERROR(O39/I39),"－",ROUND(O39/I39*100,1))</f>
        <v>0.7</v>
      </c>
      <c r="R39" s="1009"/>
      <c r="S39" s="132">
        <v>4215874</v>
      </c>
      <c r="T39" s="113"/>
      <c r="U39" s="1511">
        <f>IF(ISERROR(I39/S39),"－",ROUND(I39/S39*100,1))</f>
        <v>22.6</v>
      </c>
      <c r="V39" s="1499">
        <f>IF(ISERROR(I39/F39),"－",ROUND(I39/F39,2))</f>
        <v>1.53</v>
      </c>
      <c r="W39" s="1010"/>
      <c r="X39" s="116"/>
    </row>
    <row r="40" spans="1:24" s="1452" customFormat="1" ht="13.2" hidden="1">
      <c r="A40" s="1501"/>
      <c r="B40" s="1504"/>
      <c r="C40" s="1503"/>
      <c r="D40" s="1517"/>
      <c r="E40" s="1505">
        <f>$E$12</f>
        <v>30</v>
      </c>
      <c r="F40" s="1508">
        <v>605667</v>
      </c>
      <c r="G40" s="1492"/>
      <c r="H40" s="1498">
        <f>IF(ISERROR(F40/F39),"－",ROUND(F40/F39*100,1))</f>
        <v>97.5</v>
      </c>
      <c r="I40" s="1506">
        <v>913839</v>
      </c>
      <c r="J40" s="1493"/>
      <c r="K40" s="1498">
        <f>IF(ISERROR(I40/I39),"－",ROUND(I40/I39*100,1))</f>
        <v>96</v>
      </c>
      <c r="L40" s="1508">
        <v>912500</v>
      </c>
      <c r="M40" s="1492"/>
      <c r="N40" s="1498">
        <f>IF(ISERROR(L40/I40),"－",ROUND(L40/I40*100,1))</f>
        <v>99.9</v>
      </c>
      <c r="O40" s="1508">
        <v>1339</v>
      </c>
      <c r="P40" s="1494"/>
      <c r="Q40" s="1509">
        <f>IF(ISERROR(O40/I40),"－",ROUND(O40/I40*100,1))</f>
        <v>0.1</v>
      </c>
      <c r="R40" s="1495"/>
      <c r="S40" s="1506">
        <v>4228649</v>
      </c>
      <c r="T40" s="1510"/>
      <c r="U40" s="1511">
        <f>IF(ISERROR(I40/S40),"－",ROUND(I40/S40*100,1))</f>
        <v>21.6</v>
      </c>
      <c r="V40" s="1499">
        <f>IF(ISERROR(I40/F40),"－",ROUND(I40/F40,2))</f>
        <v>1.51</v>
      </c>
      <c r="W40" s="1513"/>
      <c r="X40" s="1500"/>
    </row>
    <row r="41" spans="1:24" ht="16.5" customHeight="1">
      <c r="A41" s="587"/>
      <c r="B41" s="540"/>
      <c r="C41" s="588" t="s">
        <v>7</v>
      </c>
      <c r="D41" s="576"/>
      <c r="E41" s="589" t="str">
        <f>$E$13</f>
        <v>元</v>
      </c>
      <c r="F41" s="1203">
        <v>595869</v>
      </c>
      <c r="G41" s="98"/>
      <c r="H41" s="105">
        <f>IF(ISERROR(F41/F40),"－",ROUND(F41/F40*100,1))</f>
        <v>98.4</v>
      </c>
      <c r="I41" s="158">
        <v>887019</v>
      </c>
      <c r="J41" s="99"/>
      <c r="K41" s="105">
        <f>IF(ISERROR(I41/I40),"－",ROUND(I41/I40*100,1))</f>
        <v>97.1</v>
      </c>
      <c r="L41" s="1203">
        <v>886966</v>
      </c>
      <c r="M41" s="98"/>
      <c r="N41" s="105">
        <f>IF(ISERROR(L41/I41),"－",ROUND(L41/I41*100,1))</f>
        <v>100</v>
      </c>
      <c r="O41" s="1203">
        <v>53</v>
      </c>
      <c r="P41" s="101"/>
      <c r="Q41" s="128">
        <f>IF(ISERROR(O41/I41),"－",ROUND(O41/I41*100,1))</f>
        <v>0</v>
      </c>
      <c r="R41" s="102"/>
      <c r="S41" s="158">
        <v>4241622</v>
      </c>
      <c r="T41" s="120"/>
      <c r="U41" s="1011">
        <f>IF(ISERROR(I41/S41),"－",ROUND(I41/S41*100,1))</f>
        <v>20.9</v>
      </c>
      <c r="V41" s="106">
        <f>IF(ISERROR(I41/F41),"－",ROUND(I41/F41,2))</f>
        <v>1.49</v>
      </c>
      <c r="W41" s="998"/>
      <c r="X41" s="107"/>
    </row>
    <row r="42" spans="1:24" ht="16.5" customHeight="1">
      <c r="A42" s="587"/>
      <c r="B42" s="540"/>
      <c r="C42" s="575" t="s">
        <v>217</v>
      </c>
      <c r="D42" s="576"/>
      <c r="E42" s="589">
        <f>$E$14</f>
        <v>2</v>
      </c>
      <c r="F42" s="1203">
        <v>593687</v>
      </c>
      <c r="G42" s="98"/>
      <c r="H42" s="105">
        <f>IF(ISERROR(F42/F41),"－",ROUND(F42/F41*100,1))</f>
        <v>99.6</v>
      </c>
      <c r="I42" s="158">
        <v>875990</v>
      </c>
      <c r="J42" s="99"/>
      <c r="K42" s="105">
        <f>IF(ISERROR(I42/I41),"－",ROUND(I42/I41*100,1))</f>
        <v>98.8</v>
      </c>
      <c r="L42" s="1203">
        <v>875990</v>
      </c>
      <c r="M42" s="98"/>
      <c r="N42" s="105">
        <f>IF(ISERROR(L42/I42),"－",ROUND(L42/I42*100,1))</f>
        <v>100</v>
      </c>
      <c r="O42" s="1203">
        <v>0</v>
      </c>
      <c r="P42" s="101"/>
      <c r="Q42" s="128">
        <f>IF(ISERROR(O42/I42),"－",ROUND(O42/I42*100,1))</f>
        <v>0</v>
      </c>
      <c r="R42" s="102"/>
      <c r="S42" s="158">
        <v>4246707</v>
      </c>
      <c r="T42" s="120"/>
      <c r="U42" s="1011">
        <f>IF(ISERROR(I42/S42),"－",ROUND(I42/S42*100,1))</f>
        <v>20.6</v>
      </c>
      <c r="V42" s="106">
        <f>IF(ISERROR(I42/F42),"－",ROUND(I42/F42,2))</f>
        <v>1.48</v>
      </c>
      <c r="W42" s="998"/>
      <c r="X42" s="107"/>
    </row>
    <row r="43" spans="1:24" s="11" customFormat="1" ht="17.399999999999999" customHeight="1">
      <c r="A43" s="506"/>
      <c r="B43" s="508"/>
      <c r="C43" s="602"/>
      <c r="D43" s="603"/>
      <c r="E43" s="604">
        <f>$E$15</f>
        <v>3</v>
      </c>
      <c r="F43" s="1616">
        <v>584505</v>
      </c>
      <c r="G43" s="1029"/>
      <c r="H43" s="1030">
        <f>IF(ISERROR(F43/F42),"－",ROUND(F43/F42*100,1))</f>
        <v>98.5</v>
      </c>
      <c r="I43" s="1031">
        <v>853235</v>
      </c>
      <c r="J43" s="1032"/>
      <c r="K43" s="1033">
        <f>IF(ISERROR(I43/I42),"－",ROUND(I43/I42*100,1))</f>
        <v>97.4</v>
      </c>
      <c r="L43" s="1616">
        <v>853235</v>
      </c>
      <c r="M43" s="1034"/>
      <c r="N43" s="1033">
        <f>IF(ISERROR(L43/I43),"－",ROUND(L43/I43*100,1))</f>
        <v>100</v>
      </c>
      <c r="O43" s="1616">
        <v>0</v>
      </c>
      <c r="P43" s="1615"/>
      <c r="Q43" s="1035">
        <f>IF(ISERROR(O43/I43),"－",ROUND(O43/I43*100,1))</f>
        <v>0</v>
      </c>
      <c r="R43" s="1036"/>
      <c r="S43" s="1031">
        <v>4246118</v>
      </c>
      <c r="T43" s="1037"/>
      <c r="U43" s="1030">
        <f>IF(ISERROR(I43/S43),"－",ROUND(I43/S43*100,1))</f>
        <v>20.100000000000001</v>
      </c>
      <c r="V43" s="1038">
        <f>IF(ISERROR(I43/F43),"－",ROUND(I43/F43,2))</f>
        <v>1.46</v>
      </c>
      <c r="W43" s="1039"/>
      <c r="X43" s="112"/>
    </row>
    <row r="44" spans="1:24" s="117" customFormat="1" ht="17.399999999999999" hidden="1" customHeight="1">
      <c r="A44" s="600"/>
      <c r="B44" s="585"/>
      <c r="C44" s="584"/>
      <c r="D44" s="585"/>
      <c r="E44" s="586">
        <f>$E$11</f>
        <v>29</v>
      </c>
      <c r="F44" s="132">
        <v>6109</v>
      </c>
      <c r="G44" s="1006"/>
      <c r="H44" s="114"/>
      <c r="I44" s="132">
        <v>9536</v>
      </c>
      <c r="J44" s="1024"/>
      <c r="K44" s="114"/>
      <c r="L44" s="1206">
        <v>9509</v>
      </c>
      <c r="M44" s="1007"/>
      <c r="N44" s="114"/>
      <c r="O44" s="1206">
        <v>27</v>
      </c>
      <c r="P44" s="1614"/>
      <c r="Q44" s="1008"/>
      <c r="R44" s="1009"/>
      <c r="S44" s="132">
        <v>25354</v>
      </c>
      <c r="T44" s="113"/>
      <c r="U44" s="1025"/>
      <c r="V44" s="115"/>
      <c r="W44" s="1010"/>
      <c r="X44" s="116"/>
    </row>
    <row r="45" spans="1:24" s="1452" customFormat="1" ht="16.5" hidden="1" customHeight="1">
      <c r="A45" s="1501"/>
      <c r="B45" s="1504"/>
      <c r="C45" s="1503"/>
      <c r="D45" s="1517"/>
      <c r="E45" s="1505">
        <f>$E$12</f>
        <v>30</v>
      </c>
      <c r="F45" s="1506">
        <v>5861</v>
      </c>
      <c r="G45" s="1492"/>
      <c r="H45" s="1498">
        <f>IF(ISERROR(F45/F44),"－",ROUND(F45/F44*100,1))</f>
        <v>95.9</v>
      </c>
      <c r="I45" s="1506">
        <v>9033</v>
      </c>
      <c r="J45" s="1493"/>
      <c r="K45" s="1498">
        <f>IF(ISERROR(I45/I44),"－",ROUND(I45/I44*100,1))</f>
        <v>94.7</v>
      </c>
      <c r="L45" s="1508">
        <v>9029</v>
      </c>
      <c r="M45" s="1492"/>
      <c r="N45" s="1498">
        <f t="shared" ref="N45:N53" si="2">IF(ISERROR(L45/I45),"－",ROUND(L45/I45*100,1))</f>
        <v>100</v>
      </c>
      <c r="O45" s="1508">
        <v>4</v>
      </c>
      <c r="P45" s="1494"/>
      <c r="Q45" s="1509">
        <f>IF(ISERROR(O45/I45),"－",ROUND(O45/I45*100,1))</f>
        <v>0</v>
      </c>
      <c r="R45" s="1495"/>
      <c r="S45" s="1506">
        <v>25113</v>
      </c>
      <c r="T45" s="1510"/>
      <c r="U45" s="1511">
        <f>IF(ISERROR(I45/S45),"－",ROUND(I45/S45*100,1))</f>
        <v>36</v>
      </c>
      <c r="V45" s="1499">
        <f>IF(ISERROR(I45/F45),"－",ROUND(I45/F45,2))</f>
        <v>1.54</v>
      </c>
      <c r="W45" s="1513"/>
      <c r="X45" s="1500"/>
    </row>
    <row r="46" spans="1:24" ht="16.5" customHeight="1">
      <c r="A46" s="587"/>
      <c r="B46" s="540"/>
      <c r="C46" s="588" t="s">
        <v>8</v>
      </c>
      <c r="D46" s="576"/>
      <c r="E46" s="589" t="str">
        <f>$E$13</f>
        <v>元</v>
      </c>
      <c r="F46" s="158">
        <v>5625</v>
      </c>
      <c r="G46" s="98"/>
      <c r="H46" s="105">
        <f>IF(ISERROR(F46/F45),"－",ROUND(F46/F45*100,1))</f>
        <v>96</v>
      </c>
      <c r="I46" s="158">
        <v>8566</v>
      </c>
      <c r="J46" s="99"/>
      <c r="K46" s="105">
        <f>IF(ISERROR(I46/I45),"－",ROUND(I46/I45*100,1))</f>
        <v>94.8</v>
      </c>
      <c r="L46" s="1203">
        <v>8566</v>
      </c>
      <c r="M46" s="98"/>
      <c r="N46" s="105">
        <f t="shared" si="2"/>
        <v>100</v>
      </c>
      <c r="O46" s="1203">
        <v>0</v>
      </c>
      <c r="P46" s="101"/>
      <c r="Q46" s="128">
        <f>IF(ISERROR(O46/I46),"－",ROUND(O46/I46*100,1))</f>
        <v>0</v>
      </c>
      <c r="R46" s="102"/>
      <c r="S46" s="158">
        <v>24704</v>
      </c>
      <c r="T46" s="120"/>
      <c r="U46" s="1011">
        <f>IF(ISERROR(I46/S46),"－",ROUND(I46/S46*100,1))</f>
        <v>34.700000000000003</v>
      </c>
      <c r="V46" s="106">
        <f>IF(ISERROR(I46/F46),"－",ROUND(I46/F46,2))</f>
        <v>1.52</v>
      </c>
      <c r="W46" s="998"/>
      <c r="X46" s="107"/>
    </row>
    <row r="47" spans="1:24" ht="16.5" customHeight="1">
      <c r="A47" s="587"/>
      <c r="B47" s="540"/>
      <c r="C47" s="575" t="s">
        <v>217</v>
      </c>
      <c r="D47" s="576"/>
      <c r="E47" s="589">
        <f>$E$14</f>
        <v>2</v>
      </c>
      <c r="F47" s="158">
        <v>5392</v>
      </c>
      <c r="G47" s="98"/>
      <c r="H47" s="105">
        <f>IF(ISERROR(F47/F46),"－",ROUND(F47/F46*100,1))</f>
        <v>95.9</v>
      </c>
      <c r="I47" s="158">
        <v>8169</v>
      </c>
      <c r="J47" s="99"/>
      <c r="K47" s="105">
        <f>IF(ISERROR(I47/I46),"－",ROUND(I47/I46*100,1))</f>
        <v>95.4</v>
      </c>
      <c r="L47" s="1203">
        <v>8169</v>
      </c>
      <c r="M47" s="98"/>
      <c r="N47" s="105">
        <f t="shared" si="2"/>
        <v>100</v>
      </c>
      <c r="O47" s="1203">
        <v>0</v>
      </c>
      <c r="P47" s="101"/>
      <c r="Q47" s="128">
        <f>IF(ISERROR(O47/I47),"－",ROUND(O47/I47*100,1))</f>
        <v>0</v>
      </c>
      <c r="R47" s="102"/>
      <c r="S47" s="158">
        <v>24347</v>
      </c>
      <c r="T47" s="120"/>
      <c r="U47" s="1011">
        <f>IF(ISERROR(I47/S47),"－",ROUND(I47/S47*100,1))</f>
        <v>33.6</v>
      </c>
      <c r="V47" s="106">
        <f>IF(ISERROR(I47/F47),"－",ROUND(I47/F47,2))</f>
        <v>1.52</v>
      </c>
      <c r="W47" s="998"/>
      <c r="X47" s="107"/>
    </row>
    <row r="48" spans="1:24" s="11" customFormat="1" ht="17.399999999999999" customHeight="1" thickBot="1">
      <c r="A48" s="509"/>
      <c r="B48" s="510"/>
      <c r="C48" s="591"/>
      <c r="D48" s="510"/>
      <c r="E48" s="594">
        <f>$E$15</f>
        <v>3</v>
      </c>
      <c r="F48" s="1021">
        <v>5229</v>
      </c>
      <c r="G48" s="1013"/>
      <c r="H48" s="1014">
        <f>IF(ISERROR(F48/F47),"－",ROUND(F48/F47*100,1))</f>
        <v>97</v>
      </c>
      <c r="I48" s="1021">
        <v>7796</v>
      </c>
      <c r="J48" s="1015"/>
      <c r="K48" s="1016">
        <f>IF(ISERROR(I48/I47),"－",ROUND(I48/I47*100,1))</f>
        <v>95.4</v>
      </c>
      <c r="L48" s="1205">
        <v>7796</v>
      </c>
      <c r="M48" s="1018"/>
      <c r="N48" s="1016">
        <f t="shared" si="2"/>
        <v>100</v>
      </c>
      <c r="O48" s="1205">
        <v>0</v>
      </c>
      <c r="P48" s="1012"/>
      <c r="Q48" s="1019">
        <f>IF(ISERROR(O48/I48),"－",ROUND(O48/I48*100,1))</f>
        <v>0</v>
      </c>
      <c r="R48" s="1020"/>
      <c r="S48" s="1021">
        <v>23876</v>
      </c>
      <c r="T48" s="1022"/>
      <c r="U48" s="1014">
        <f>IF(ISERROR(I48/S48),"－",ROUND(I48/S48*100,1))</f>
        <v>32.700000000000003</v>
      </c>
      <c r="V48" s="122">
        <f>IF(ISERROR(I48/F48),"－",ROUND(I48/F48,2))</f>
        <v>1.49</v>
      </c>
      <c r="W48" s="1023"/>
      <c r="X48" s="112"/>
    </row>
    <row r="49" spans="1:24" s="117" customFormat="1" ht="13.8" hidden="1" thickTop="1">
      <c r="A49" s="583"/>
      <c r="B49" s="584"/>
      <c r="C49" s="584"/>
      <c r="D49" s="585"/>
      <c r="E49" s="586">
        <f>$E$11</f>
        <v>29</v>
      </c>
      <c r="F49" s="132">
        <v>610477</v>
      </c>
      <c r="G49" s="1006"/>
      <c r="H49" s="1498" t="s">
        <v>1046</v>
      </c>
      <c r="I49" s="132">
        <v>1260065</v>
      </c>
      <c r="J49" s="1024"/>
      <c r="K49" s="1498" t="s">
        <v>1046</v>
      </c>
      <c r="L49" s="1206">
        <v>1260065</v>
      </c>
      <c r="M49" s="1007"/>
      <c r="N49" s="1498">
        <f t="shared" si="2"/>
        <v>100</v>
      </c>
      <c r="O49" s="126" t="s">
        <v>211</v>
      </c>
      <c r="P49" s="1614"/>
      <c r="Q49" s="1008" t="s">
        <v>1046</v>
      </c>
      <c r="R49" s="1009"/>
      <c r="S49" s="1520" t="s">
        <v>211</v>
      </c>
      <c r="T49" s="113"/>
      <c r="U49" s="1498" t="s">
        <v>211</v>
      </c>
      <c r="V49" s="115"/>
      <c r="W49" s="1010"/>
      <c r="X49" s="116"/>
    </row>
    <row r="50" spans="1:24" s="1452" customFormat="1" ht="13.2" hidden="1">
      <c r="A50" s="1488"/>
      <c r="B50" s="1489"/>
      <c r="C50" s="1489"/>
      <c r="D50" s="1490"/>
      <c r="E50" s="1505">
        <f>$E$12</f>
        <v>30</v>
      </c>
      <c r="F50" s="1506">
        <v>612396</v>
      </c>
      <c r="G50" s="1492"/>
      <c r="H50" s="1498">
        <f>IF(ISERROR(F50/F49),"－",ROUND(F50/F49*100,1))</f>
        <v>100.3</v>
      </c>
      <c r="I50" s="1506">
        <v>1250034</v>
      </c>
      <c r="J50" s="1493"/>
      <c r="K50" s="1498">
        <f>IF(ISERROR(I50/I49),"－",ROUND(I50/I49*100,1))</f>
        <v>99.2</v>
      </c>
      <c r="L50" s="1508">
        <v>1250034</v>
      </c>
      <c r="M50" s="1492"/>
      <c r="N50" s="1498">
        <f t="shared" si="2"/>
        <v>100</v>
      </c>
      <c r="O50" s="1519" t="s">
        <v>211</v>
      </c>
      <c r="P50" s="1494"/>
      <c r="Q50" s="1509" t="s">
        <v>211</v>
      </c>
      <c r="R50" s="1495"/>
      <c r="S50" s="1520" t="s">
        <v>211</v>
      </c>
      <c r="T50" s="1521"/>
      <c r="U50" s="1498" t="s">
        <v>211</v>
      </c>
      <c r="V50" s="1512" t="s">
        <v>211</v>
      </c>
      <c r="W50" s="1513"/>
      <c r="X50" s="1500"/>
    </row>
    <row r="51" spans="1:24" ht="16.5" customHeight="1" thickTop="1">
      <c r="A51" s="574"/>
      <c r="B51" s="20" t="s">
        <v>600</v>
      </c>
      <c r="D51" s="540"/>
      <c r="E51" s="589" t="str">
        <f>$E$13</f>
        <v>元</v>
      </c>
      <c r="F51" s="158">
        <v>618250</v>
      </c>
      <c r="G51" s="98"/>
      <c r="H51" s="105">
        <f>IF(ISERROR(F51/F50),"－",ROUND(F51/F50*100,1))</f>
        <v>101</v>
      </c>
      <c r="I51" s="158">
        <v>1247448</v>
      </c>
      <c r="J51" s="99"/>
      <c r="K51" s="105">
        <f>IF(ISERROR(I51/I50),"－",ROUND(I51/I50*100,1))</f>
        <v>99.8</v>
      </c>
      <c r="L51" s="1203">
        <v>1247448</v>
      </c>
      <c r="M51" s="98"/>
      <c r="N51" s="105">
        <f t="shared" si="2"/>
        <v>100</v>
      </c>
      <c r="O51" s="127" t="s">
        <v>211</v>
      </c>
      <c r="P51" s="101"/>
      <c r="Q51" s="128" t="s">
        <v>211</v>
      </c>
      <c r="R51" s="102"/>
      <c r="S51" s="129" t="s">
        <v>211</v>
      </c>
      <c r="T51" s="130"/>
      <c r="U51" s="105" t="s">
        <v>211</v>
      </c>
      <c r="V51" s="121" t="s">
        <v>211</v>
      </c>
      <c r="W51" s="998"/>
      <c r="X51" s="107"/>
    </row>
    <row r="52" spans="1:24" ht="16.5" customHeight="1">
      <c r="A52" s="539"/>
      <c r="D52" s="540"/>
      <c r="E52" s="589">
        <f>$E$14</f>
        <v>2</v>
      </c>
      <c r="F52" s="158">
        <v>620634</v>
      </c>
      <c r="G52" s="98"/>
      <c r="H52" s="105">
        <f>IF(ISERROR(F52/F51),"－",ROUND(F52/F51*100,1))</f>
        <v>100.4</v>
      </c>
      <c r="I52" s="158">
        <v>1241949</v>
      </c>
      <c r="J52" s="99"/>
      <c r="K52" s="105">
        <f>IF(ISERROR(I52/I51),"－",ROUND(I52/I51*100,1))</f>
        <v>99.6</v>
      </c>
      <c r="L52" s="1203">
        <v>1241949</v>
      </c>
      <c r="M52" s="98"/>
      <c r="N52" s="105">
        <f t="shared" si="2"/>
        <v>100</v>
      </c>
      <c r="O52" s="127" t="s">
        <v>211</v>
      </c>
      <c r="P52" s="101"/>
      <c r="Q52" s="128" t="s">
        <v>211</v>
      </c>
      <c r="R52" s="102"/>
      <c r="S52" s="129" t="s">
        <v>211</v>
      </c>
      <c r="T52" s="130"/>
      <c r="U52" s="105" t="s">
        <v>211</v>
      </c>
      <c r="V52" s="121" t="s">
        <v>211</v>
      </c>
      <c r="W52" s="998"/>
      <c r="X52" s="107"/>
    </row>
    <row r="53" spans="1:24" s="11" customFormat="1" ht="17.399999999999999" customHeight="1">
      <c r="A53" s="579"/>
      <c r="B53" s="580"/>
      <c r="C53" s="580"/>
      <c r="D53" s="581"/>
      <c r="E53" s="598">
        <f>$E$15</f>
        <v>3</v>
      </c>
      <c r="F53" s="159">
        <v>621810</v>
      </c>
      <c r="G53" s="999"/>
      <c r="H53" s="1027">
        <f>IF(ISERROR(F53/F52),"－",ROUND(F53/F52*100,1))</f>
        <v>100.2</v>
      </c>
      <c r="I53" s="159">
        <v>1232467</v>
      </c>
      <c r="J53" s="1028"/>
      <c r="K53" s="110">
        <f>IF(ISERROR(I53/I52),"－",ROUND(I53/I52*100,1))</f>
        <v>99.2</v>
      </c>
      <c r="L53" s="1204">
        <v>1232467</v>
      </c>
      <c r="M53" s="1001"/>
      <c r="N53" s="110">
        <f t="shared" si="2"/>
        <v>100</v>
      </c>
      <c r="O53" s="1040" t="s">
        <v>211</v>
      </c>
      <c r="P53" s="1000"/>
      <c r="Q53" s="1002" t="s">
        <v>211</v>
      </c>
      <c r="R53" s="1003"/>
      <c r="S53" s="108" t="s">
        <v>211</v>
      </c>
      <c r="T53" s="131"/>
      <c r="U53" s="110" t="s">
        <v>211</v>
      </c>
      <c r="V53" s="111" t="s">
        <v>211</v>
      </c>
      <c r="W53" s="1004"/>
      <c r="X53" s="112"/>
    </row>
    <row r="54" spans="1:24" s="117" customFormat="1" ht="17.399999999999999" hidden="1" customHeight="1">
      <c r="A54" s="583"/>
      <c r="B54" s="1522"/>
      <c r="C54" s="1525"/>
      <c r="D54" s="1526"/>
      <c r="E54" s="1527"/>
      <c r="F54" s="1528" t="s">
        <v>1049</v>
      </c>
      <c r="G54" s="1006"/>
      <c r="H54" s="1498"/>
      <c r="I54" s="1528" t="s">
        <v>1050</v>
      </c>
      <c r="J54" s="1024"/>
      <c r="K54" s="1498"/>
      <c r="L54" s="1528" t="s">
        <v>1094</v>
      </c>
      <c r="M54" s="1007"/>
      <c r="N54" s="1498"/>
      <c r="O54" s="1528"/>
      <c r="P54" s="1405"/>
      <c r="Q54" s="1008"/>
      <c r="R54" s="1009"/>
      <c r="S54" s="1496" t="s">
        <v>211</v>
      </c>
      <c r="T54" s="113"/>
      <c r="U54" s="1498"/>
      <c r="V54" s="1499"/>
      <c r="W54" s="1010"/>
      <c r="X54" s="116"/>
    </row>
    <row r="55" spans="1:24" s="117" customFormat="1" ht="17.399999999999999" hidden="1" customHeight="1">
      <c r="A55" s="583"/>
      <c r="B55" s="1523"/>
      <c r="C55" s="584"/>
      <c r="D55" s="585"/>
      <c r="E55" s="586">
        <f>$E$11</f>
        <v>29</v>
      </c>
      <c r="F55" s="132">
        <v>214175</v>
      </c>
      <c r="G55" s="1006"/>
      <c r="H55" s="1498" t="s">
        <v>1046</v>
      </c>
      <c r="I55" s="132">
        <v>404621</v>
      </c>
      <c r="J55" s="1024"/>
      <c r="K55" s="1498" t="s">
        <v>1046</v>
      </c>
      <c r="L55" s="1206">
        <v>404621</v>
      </c>
      <c r="M55" s="1007"/>
      <c r="N55" s="1498">
        <f>IF(ISERROR(L55/I55),"－",ROUND(L55/I55*100,1))</f>
        <v>100</v>
      </c>
      <c r="O55" s="1519" t="s">
        <v>211</v>
      </c>
      <c r="P55" s="1494"/>
      <c r="Q55" s="1509" t="s">
        <v>211</v>
      </c>
      <c r="R55" s="1495"/>
      <c r="S55" s="1506">
        <f>S21</f>
        <v>13667501</v>
      </c>
      <c r="T55" s="133"/>
      <c r="U55" s="1511">
        <f>IF(ISERROR(I55/S55),"－",ROUND(I55/S55*100,1))</f>
        <v>3</v>
      </c>
      <c r="V55" s="1499" t="s">
        <v>211</v>
      </c>
      <c r="W55" s="1010"/>
      <c r="X55" s="116"/>
    </row>
    <row r="56" spans="1:24" s="1452" customFormat="1" ht="16.5" hidden="1" customHeight="1">
      <c r="A56" s="1501"/>
      <c r="B56" s="1502"/>
      <c r="C56" s="1503"/>
      <c r="D56" s="1504"/>
      <c r="E56" s="1505">
        <f>$E$12</f>
        <v>30</v>
      </c>
      <c r="F56" s="1506">
        <v>212754</v>
      </c>
      <c r="G56" s="1492"/>
      <c r="H56" s="1498">
        <f>IF(ISERROR(F56/F55),"－",ROUND(F56/F55*100,1))</f>
        <v>99.3</v>
      </c>
      <c r="I56" s="1506">
        <v>397837</v>
      </c>
      <c r="J56" s="1493"/>
      <c r="K56" s="1498">
        <f>IF(ISERROR(I56/I55),"－",ROUND(I56/I55*100,1))</f>
        <v>98.3</v>
      </c>
      <c r="L56" s="1508">
        <v>397837</v>
      </c>
      <c r="M56" s="1492"/>
      <c r="N56" s="1498">
        <f>IF(ISERROR(L56/I56),"－",ROUND(L56/I56*100,1))</f>
        <v>100</v>
      </c>
      <c r="O56" s="1519" t="s">
        <v>211</v>
      </c>
      <c r="P56" s="1494"/>
      <c r="Q56" s="1509" t="s">
        <v>211</v>
      </c>
      <c r="R56" s="1495"/>
      <c r="S56" s="1506">
        <f>S22</f>
        <v>13768387</v>
      </c>
      <c r="T56" s="1510"/>
      <c r="U56" s="1511">
        <f>IF(ISERROR(I56/S56),"－",ROUND(I56/S56*100,1))</f>
        <v>2.9</v>
      </c>
      <c r="V56" s="1499" t="s">
        <v>211</v>
      </c>
      <c r="W56" s="1513"/>
      <c r="X56" s="1500"/>
    </row>
    <row r="57" spans="1:24" ht="16.5" customHeight="1">
      <c r="A57" s="587"/>
      <c r="B57" s="21"/>
      <c r="C57" s="588" t="s">
        <v>6</v>
      </c>
      <c r="D57" s="576"/>
      <c r="E57" s="589" t="str">
        <f>$E$13</f>
        <v>元</v>
      </c>
      <c r="F57" s="195">
        <v>212599</v>
      </c>
      <c r="G57" s="135"/>
      <c r="H57" s="1041">
        <f>IF(ISERROR(F57/F56),"－",ROUND(F57/F56*100,1))</f>
        <v>99.9</v>
      </c>
      <c r="I57" s="195">
        <v>393173</v>
      </c>
      <c r="J57" s="136"/>
      <c r="K57" s="1041">
        <f>IF(ISERROR(I57/I56),"－",ROUND(I57/I56*100,1))</f>
        <v>98.8</v>
      </c>
      <c r="L57" s="1207">
        <v>393173</v>
      </c>
      <c r="M57" s="135"/>
      <c r="N57" s="1041">
        <f>IF(ISERROR(L57/I57),"－",ROUND(L57/I57*100,1))</f>
        <v>100</v>
      </c>
      <c r="O57" s="137" t="s">
        <v>211</v>
      </c>
      <c r="P57" s="138"/>
      <c r="Q57" s="139" t="s">
        <v>211</v>
      </c>
      <c r="R57" s="140"/>
      <c r="S57" s="195">
        <f>S23</f>
        <v>13865911</v>
      </c>
      <c r="T57" s="141"/>
      <c r="U57" s="1043">
        <f>IF(ISERROR(I57/S57),"－",ROUND(I57/S57*100,1))</f>
        <v>2.8</v>
      </c>
      <c r="V57" s="142" t="s">
        <v>211</v>
      </c>
      <c r="W57" s="1044"/>
      <c r="X57" s="107"/>
    </row>
    <row r="58" spans="1:24" s="8" customFormat="1" ht="16.5" customHeight="1">
      <c r="A58" s="587"/>
      <c r="B58" s="45"/>
      <c r="C58" s="885" t="s">
        <v>218</v>
      </c>
      <c r="D58" s="576"/>
      <c r="E58" s="589">
        <f>$E$14</f>
        <v>2</v>
      </c>
      <c r="F58" s="195">
        <v>210432</v>
      </c>
      <c r="G58" s="1045"/>
      <c r="H58" s="1041">
        <f>IF(ISERROR(F58/F57),"－",ROUND(F58/F57*100,1))</f>
        <v>99</v>
      </c>
      <c r="I58" s="195">
        <v>386546</v>
      </c>
      <c r="J58" s="136"/>
      <c r="K58" s="1041">
        <f>IF(ISERROR(I58/I57),"－",ROUND(I58/I57*100,1))</f>
        <v>98.3</v>
      </c>
      <c r="L58" s="1207">
        <v>386546</v>
      </c>
      <c r="M58" s="135"/>
      <c r="N58" s="1041">
        <f>IF(ISERROR(L58/I58),"－",ROUND(L58/I58*100,1))</f>
        <v>100</v>
      </c>
      <c r="O58" s="137" t="s">
        <v>211</v>
      </c>
      <c r="P58" s="138"/>
      <c r="Q58" s="139" t="s">
        <v>211</v>
      </c>
      <c r="R58" s="140"/>
      <c r="S58" s="195">
        <f>S24</f>
        <v>13840468</v>
      </c>
      <c r="T58" s="141"/>
      <c r="U58" s="1043">
        <f>IF(ISERROR(I58/S58),"－",ROUND(I58/S58*100,1))</f>
        <v>2.8</v>
      </c>
      <c r="V58" s="142" t="s">
        <v>211</v>
      </c>
      <c r="W58" s="1044"/>
      <c r="X58" s="143"/>
    </row>
    <row r="59" spans="1:24" s="14" customFormat="1" ht="17.399999999999999" customHeight="1">
      <c r="A59" s="606"/>
      <c r="B59" s="607"/>
      <c r="C59" s="607"/>
      <c r="D59" s="608"/>
      <c r="E59" s="598">
        <f>$E$15</f>
        <v>3</v>
      </c>
      <c r="F59" s="200">
        <v>209209</v>
      </c>
      <c r="G59" s="1046"/>
      <c r="H59" s="1047">
        <f>IF(ISERROR(F59/F58),"－",ROUND(F59/F58*100,1))</f>
        <v>99.4</v>
      </c>
      <c r="I59" s="201">
        <v>380833</v>
      </c>
      <c r="J59" s="1048"/>
      <c r="K59" s="1047">
        <f>IF(ISERROR(I59/I58),"－",ROUND(I59/I58*100,1))</f>
        <v>98.5</v>
      </c>
      <c r="L59" s="200">
        <v>380833</v>
      </c>
      <c r="M59" s="1049"/>
      <c r="N59" s="1047">
        <f>IF(ISERROR(L59/I59),"－",ROUND(L59/I59*100,1))</f>
        <v>100</v>
      </c>
      <c r="O59" s="1050" t="s">
        <v>211</v>
      </c>
      <c r="P59" s="1051"/>
      <c r="Q59" s="1052" t="s">
        <v>211</v>
      </c>
      <c r="R59" s="1053"/>
      <c r="S59" s="201">
        <f>S25</f>
        <v>13802273</v>
      </c>
      <c r="T59" s="1054"/>
      <c r="U59" s="1055">
        <f>IF(ISERROR(I59/S59),"－",ROUND(I59/S59*100,1))</f>
        <v>2.8</v>
      </c>
      <c r="V59" s="1056" t="s">
        <v>211</v>
      </c>
      <c r="W59" s="1057"/>
      <c r="X59" s="144"/>
    </row>
    <row r="60" spans="1:24" ht="4.5" customHeight="1">
      <c r="F60" s="8"/>
    </row>
    <row r="61" spans="1:24">
      <c r="F61" s="8"/>
      <c r="I61" s="8"/>
    </row>
    <row r="62" spans="1:24">
      <c r="F62" s="8"/>
      <c r="H62" s="145"/>
      <c r="I62" s="8"/>
      <c r="K62" s="145"/>
    </row>
    <row r="63" spans="1:24">
      <c r="F63" s="8"/>
      <c r="H63" s="145"/>
      <c r="I63" s="8"/>
      <c r="K63" s="145"/>
    </row>
    <row r="64" spans="1:24">
      <c r="F64" s="8"/>
      <c r="H64" s="146"/>
      <c r="I64" s="8"/>
      <c r="K64" s="145"/>
    </row>
  </sheetData>
  <mergeCells count="2">
    <mergeCell ref="A13:C13"/>
    <mergeCell ref="S9:T9"/>
  </mergeCells>
  <phoneticPr fontId="27"/>
  <printOptions gridLinesSet="0"/>
  <pageMargins left="0.98425196850393704" right="0.98425196850393704" top="0.78740157480314965" bottom="0.59055118110236227" header="0" footer="0.39370078740157483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F76"/>
  <sheetViews>
    <sheetView view="pageBreakPreview" zoomScaleNormal="100" workbookViewId="0"/>
  </sheetViews>
  <sheetFormatPr defaultColWidth="9" defaultRowHeight="12"/>
  <cols>
    <col min="1" max="1" width="1" style="21" customWidth="1" collapsed="1"/>
    <col min="2" max="2" width="1.6640625" style="21" customWidth="1" collapsed="1"/>
    <col min="3" max="3" width="1.33203125" style="21" customWidth="1" collapsed="1"/>
    <col min="4" max="4" width="1.88671875" style="20" customWidth="1" collapsed="1"/>
    <col min="5" max="5" width="4.33203125" style="20" customWidth="1" collapsed="1"/>
    <col min="6" max="8" width="5.6640625" style="1" customWidth="1" collapsed="1"/>
    <col min="9" max="9" width="6.21875" style="1" customWidth="1" collapsed="1"/>
    <col min="10" max="12" width="5.6640625" style="1" customWidth="1" collapsed="1"/>
    <col min="13" max="13" width="6.21875" style="1" customWidth="1" collapsed="1"/>
    <col min="14" max="16" width="5.6640625" style="1" customWidth="1" collapsed="1"/>
    <col min="17" max="17" width="6.21875" style="1" customWidth="1" collapsed="1"/>
    <col min="18" max="18" width="9.77734375" style="1" customWidth="1" collapsed="1"/>
    <col min="19" max="19" width="4.6640625" style="1" customWidth="1" collapsed="1"/>
    <col min="20" max="20" width="0" style="1" hidden="1" customWidth="1" collapsed="1"/>
    <col min="21" max="21" width="9.21875" style="1" hidden="1" customWidth="1" collapsed="1"/>
    <col min="22" max="24" width="0" style="1" hidden="1" customWidth="1" collapsed="1"/>
    <col min="25" max="32" width="15.6640625" style="1" hidden="1" customWidth="1" collapsed="1"/>
    <col min="33" max="34" width="15.6640625" style="1" customWidth="1" collapsed="1"/>
    <col min="35" max="16384" width="9" style="1" collapsed="1"/>
  </cols>
  <sheetData>
    <row r="1" spans="1:28" s="11" customFormat="1" ht="19.2" customHeight="1">
      <c r="A1" s="768" t="s">
        <v>140</v>
      </c>
      <c r="B1" s="768"/>
      <c r="C1" s="765"/>
      <c r="D1" s="609"/>
      <c r="E1" s="609"/>
      <c r="M1" s="822"/>
    </row>
    <row r="2" spans="1:28" s="11" customFormat="1" ht="19.2" customHeight="1">
      <c r="A2" s="768"/>
      <c r="B2" s="768"/>
      <c r="C2" s="765" t="str">
        <f>DBCS(情報!$D$2&amp;"の保険料（税）の状況は表８、表９、図４のとおりである。")</f>
        <v>令和３年度の保険料（税）の状況は表８、表９、図４のとおりである。</v>
      </c>
      <c r="D2" s="609"/>
      <c r="E2" s="609"/>
      <c r="M2" s="822"/>
    </row>
    <row r="3" spans="1:28" s="768" customFormat="1" ht="19.2" customHeight="1">
      <c r="A3" s="764"/>
      <c r="B3" s="764"/>
      <c r="C3" s="764"/>
      <c r="D3" s="764" t="s">
        <v>476</v>
      </c>
      <c r="E3" s="816"/>
      <c r="F3" s="764"/>
      <c r="G3" s="764"/>
      <c r="H3" s="764"/>
      <c r="I3" s="764"/>
      <c r="J3" s="764"/>
      <c r="K3" s="764"/>
      <c r="L3" s="764"/>
      <c r="M3" s="764"/>
      <c r="N3" s="764"/>
    </row>
    <row r="4" spans="1:28" s="21" customFormat="1" ht="18" customHeight="1">
      <c r="C4" s="605"/>
      <c r="D4" s="820"/>
      <c r="E4" s="821"/>
      <c r="F4" s="45"/>
      <c r="G4" s="1932" t="s">
        <v>453</v>
      </c>
      <c r="H4" s="1933"/>
      <c r="I4" s="1933"/>
      <c r="J4" s="45"/>
      <c r="K4" s="45"/>
      <c r="O4" s="1932"/>
      <c r="P4" s="1933"/>
      <c r="Q4" s="1933"/>
    </row>
    <row r="5" spans="1:28" s="21" customFormat="1" ht="15.75" customHeight="1">
      <c r="A5" s="1889" t="s">
        <v>118</v>
      </c>
      <c r="B5" s="1890"/>
      <c r="C5" s="1890"/>
      <c r="D5" s="1891"/>
      <c r="E5" s="841" t="s">
        <v>0</v>
      </c>
      <c r="F5" s="1750" t="s">
        <v>479</v>
      </c>
      <c r="G5" s="1892"/>
      <c r="H5" s="1892"/>
      <c r="I5" s="1788"/>
      <c r="J5" s="895"/>
      <c r="K5" s="896"/>
      <c r="L5" s="896"/>
      <c r="M5" s="896"/>
      <c r="N5" s="45"/>
      <c r="O5" s="45"/>
      <c r="P5" s="45"/>
      <c r="Q5" s="45"/>
    </row>
    <row r="6" spans="1:28" s="21" customFormat="1" ht="15" customHeight="1">
      <c r="A6" s="1740"/>
      <c r="B6" s="1741"/>
      <c r="C6" s="1741"/>
      <c r="D6" s="1916"/>
      <c r="E6" s="842"/>
      <c r="F6" s="1789"/>
      <c r="G6" s="1893"/>
      <c r="H6" s="1893"/>
      <c r="I6" s="1791"/>
      <c r="J6" s="834"/>
      <c r="K6" s="837"/>
      <c r="L6" s="837"/>
      <c r="M6" s="897"/>
      <c r="N6" s="837"/>
      <c r="O6" s="837"/>
      <c r="P6" s="837"/>
      <c r="Q6" s="824"/>
    </row>
    <row r="7" spans="1:28" s="21" customFormat="1" ht="24" customHeight="1">
      <c r="A7" s="1894" t="s">
        <v>119</v>
      </c>
      <c r="B7" s="1895"/>
      <c r="C7" s="1895"/>
      <c r="D7" s="1896"/>
      <c r="E7" s="826" t="s">
        <v>1</v>
      </c>
      <c r="F7" s="849"/>
      <c r="G7" s="491"/>
      <c r="H7" s="491"/>
      <c r="I7" s="850" t="s">
        <v>120</v>
      </c>
      <c r="J7" s="898"/>
      <c r="K7" s="45"/>
      <c r="L7" s="45"/>
      <c r="M7" s="899"/>
      <c r="N7" s="45"/>
      <c r="O7" s="45"/>
      <c r="P7" s="45"/>
      <c r="Q7" s="899"/>
    </row>
    <row r="8" spans="1:28" ht="13.2" hidden="1">
      <c r="A8" s="843"/>
      <c r="B8" s="844"/>
      <c r="C8" s="844"/>
      <c r="D8" s="845"/>
      <c r="E8" s="846">
        <f>情報!$B$5</f>
        <v>30</v>
      </c>
      <c r="F8" s="659">
        <f>F16+F20+F24</f>
        <v>618391491953</v>
      </c>
      <c r="G8" s="8"/>
      <c r="H8" s="8"/>
      <c r="I8" s="660"/>
      <c r="J8" s="883"/>
      <c r="K8" s="8"/>
      <c r="L8" s="661"/>
      <c r="M8" s="900"/>
      <c r="N8" s="884"/>
      <c r="O8" s="661"/>
      <c r="P8" s="661"/>
      <c r="Q8" s="900"/>
      <c r="R8" s="95"/>
      <c r="S8" s="95"/>
    </row>
    <row r="9" spans="1:28" ht="17.100000000000001" customHeight="1">
      <c r="A9" s="1802" t="s">
        <v>454</v>
      </c>
      <c r="B9" s="1909"/>
      <c r="C9" s="1909"/>
      <c r="D9" s="1755"/>
      <c r="E9" s="1183" t="str">
        <f>情報!$B$4</f>
        <v>元</v>
      </c>
      <c r="F9" s="1910">
        <f>F17+F21+F25</f>
        <v>615260802977</v>
      </c>
      <c r="G9" s="1911"/>
      <c r="H9" s="1912"/>
      <c r="I9" s="1087">
        <f>IF(ISERROR(F9/F8),"－",ROUND(F9/F8*100,1))</f>
        <v>99.5</v>
      </c>
      <c r="J9" s="97"/>
      <c r="K9" s="118"/>
      <c r="L9" s="118"/>
      <c r="M9" s="901"/>
      <c r="N9" s="118"/>
      <c r="O9" s="118"/>
      <c r="P9" s="118"/>
      <c r="Q9" s="901"/>
    </row>
    <row r="10" spans="1:28" ht="17.100000000000001" customHeight="1">
      <c r="A10" s="1802"/>
      <c r="B10" s="1867"/>
      <c r="C10" s="1867"/>
      <c r="D10" s="1803"/>
      <c r="E10" s="1184">
        <f>情報!$B$3</f>
        <v>2</v>
      </c>
      <c r="F10" s="1913">
        <f>F18+F22+F26</f>
        <v>607011884773</v>
      </c>
      <c r="G10" s="1914"/>
      <c r="H10" s="1915"/>
      <c r="I10" s="1090">
        <f>IF(ISERROR(F10/F9),"－",ROUND(F10/F9*100,1))</f>
        <v>98.7</v>
      </c>
      <c r="J10" s="97"/>
      <c r="K10" s="118"/>
      <c r="L10" s="118"/>
      <c r="M10" s="901"/>
      <c r="N10" s="118"/>
      <c r="O10" s="118"/>
      <c r="P10" s="118"/>
      <c r="Q10" s="901"/>
    </row>
    <row r="11" spans="1:28" ht="17.100000000000001" customHeight="1" thickBot="1">
      <c r="A11" s="1900" t="s">
        <v>30</v>
      </c>
      <c r="B11" s="1901"/>
      <c r="C11" s="1901"/>
      <c r="D11" s="1902"/>
      <c r="E11" s="1191">
        <f>情報!$B$2</f>
        <v>3</v>
      </c>
      <c r="F11" s="1903">
        <f>F19+F23+F27</f>
        <v>612369545742</v>
      </c>
      <c r="G11" s="1904"/>
      <c r="H11" s="1905"/>
      <c r="I11" s="1192">
        <f>IF(ISERROR(F11/F10),"－",ROUND(F11/F10*100,1))</f>
        <v>100.9</v>
      </c>
      <c r="J11" s="97"/>
      <c r="K11" s="118"/>
      <c r="L11" s="118"/>
      <c r="M11" s="901"/>
      <c r="N11" s="118"/>
      <c r="O11" s="118"/>
      <c r="P11" s="118"/>
      <c r="Q11" s="901"/>
    </row>
    <row r="12" spans="1:28" ht="13.8" hidden="1" thickTop="1">
      <c r="A12" s="832"/>
      <c r="B12" s="847"/>
      <c r="C12" s="847"/>
      <c r="D12" s="833"/>
      <c r="E12" s="1188">
        <f>E8</f>
        <v>30</v>
      </c>
      <c r="F12" s="1906">
        <f>F16+F20</f>
        <v>343970523073</v>
      </c>
      <c r="G12" s="1907"/>
      <c r="H12" s="1908"/>
      <c r="I12" s="1085"/>
      <c r="J12" s="883"/>
      <c r="K12" s="884"/>
      <c r="L12" s="884"/>
      <c r="M12" s="902"/>
      <c r="N12" s="884"/>
      <c r="O12" s="884"/>
      <c r="P12" s="884"/>
      <c r="Q12" s="902"/>
      <c r="R12" s="95"/>
      <c r="S12" s="95"/>
      <c r="Y12" s="1844" t="s">
        <v>1154</v>
      </c>
      <c r="Z12" s="1844" t="s">
        <v>1155</v>
      </c>
      <c r="AA12" s="1844" t="s">
        <v>1156</v>
      </c>
      <c r="AB12" s="1844" t="s">
        <v>1157</v>
      </c>
    </row>
    <row r="13" spans="1:28" ht="17.100000000000001" customHeight="1" thickTop="1">
      <c r="A13" s="1802" t="s">
        <v>455</v>
      </c>
      <c r="B13" s="1867"/>
      <c r="C13" s="1867"/>
      <c r="D13" s="1803"/>
      <c r="E13" s="1183" t="str">
        <f>E9</f>
        <v>元</v>
      </c>
      <c r="F13" s="1897">
        <f>F17+F21</f>
        <v>336307166517</v>
      </c>
      <c r="G13" s="1898"/>
      <c r="H13" s="1899"/>
      <c r="I13" s="1087">
        <f>IF(ISERROR(F13/F12),"－",ROUND(F13/F12*100,1))</f>
        <v>97.8</v>
      </c>
      <c r="J13" s="97"/>
      <c r="K13" s="118"/>
      <c r="L13" s="118"/>
      <c r="M13" s="901"/>
      <c r="N13" s="118"/>
      <c r="O13" s="118"/>
      <c r="P13" s="118"/>
      <c r="Q13" s="901"/>
      <c r="Y13" s="1844"/>
      <c r="Z13" s="1844"/>
      <c r="AA13" s="1844"/>
      <c r="AB13" s="1844"/>
    </row>
    <row r="14" spans="1:28" ht="17.100000000000001" customHeight="1">
      <c r="A14" s="1802" t="s">
        <v>456</v>
      </c>
      <c r="B14" s="1867"/>
      <c r="C14" s="1867"/>
      <c r="D14" s="1803"/>
      <c r="E14" s="1184">
        <f>E10</f>
        <v>2</v>
      </c>
      <c r="F14" s="1913">
        <f>F18+F22</f>
        <v>323321609037</v>
      </c>
      <c r="G14" s="1914"/>
      <c r="H14" s="1915"/>
      <c r="I14" s="1090">
        <f>IF(ISERROR(F14/F13),"－",ROUND(F14/F13*100,1))</f>
        <v>96.1</v>
      </c>
      <c r="J14" s="97"/>
      <c r="K14" s="118"/>
      <c r="L14" s="118"/>
      <c r="M14" s="901"/>
      <c r="N14" s="118"/>
      <c r="O14" s="118"/>
      <c r="P14" s="118"/>
      <c r="Q14" s="901"/>
      <c r="Y14" s="1844"/>
      <c r="Z14" s="1844"/>
      <c r="AA14" s="1844"/>
      <c r="AB14" s="1844"/>
    </row>
    <row r="15" spans="1:28" ht="17.100000000000001" customHeight="1">
      <c r="A15" s="1802" t="s">
        <v>457</v>
      </c>
      <c r="B15" s="1867"/>
      <c r="C15" s="1867"/>
      <c r="D15" s="1803"/>
      <c r="E15" s="1184">
        <f>E11</f>
        <v>3</v>
      </c>
      <c r="F15" s="1913">
        <f>F19+F23</f>
        <v>322841073809</v>
      </c>
      <c r="G15" s="1914"/>
      <c r="H15" s="1915"/>
      <c r="I15" s="1090">
        <f>IF(ISERROR(F15/F14),"－",ROUND(F15/F14*100,1))</f>
        <v>99.9</v>
      </c>
      <c r="J15" s="97"/>
      <c r="K15" s="118"/>
      <c r="L15" s="118"/>
      <c r="M15" s="901"/>
      <c r="N15" s="118"/>
      <c r="O15" s="118"/>
      <c r="P15" s="118"/>
      <c r="Q15" s="901"/>
      <c r="T15" s="1" t="s">
        <v>294</v>
      </c>
      <c r="Y15" s="1604" t="s">
        <v>749</v>
      </c>
      <c r="Z15" s="1604" t="s">
        <v>750</v>
      </c>
      <c r="AA15" s="1604" t="s">
        <v>751</v>
      </c>
      <c r="AB15" s="1604" t="s">
        <v>752</v>
      </c>
    </row>
    <row r="16" spans="1:28" ht="13.2" hidden="1">
      <c r="A16" s="583"/>
      <c r="B16" s="835"/>
      <c r="C16" s="847"/>
      <c r="D16" s="833"/>
      <c r="E16" s="1186">
        <f>E8</f>
        <v>30</v>
      </c>
      <c r="F16" s="1943">
        <f t="shared" ref="F16" si="0">(Y16-Z16)+(AA16-AB16)</f>
        <v>259388269792</v>
      </c>
      <c r="G16" s="1944"/>
      <c r="H16" s="1945"/>
      <c r="I16" s="1187"/>
      <c r="J16" s="124"/>
      <c r="K16" s="123"/>
      <c r="L16" s="123"/>
      <c r="M16" s="902"/>
      <c r="N16" s="123"/>
      <c r="O16" s="123"/>
      <c r="P16" s="123"/>
      <c r="Q16" s="902"/>
      <c r="R16" s="95"/>
      <c r="S16" s="95"/>
      <c r="Y16" s="1632">
        <v>258720692303</v>
      </c>
      <c r="Z16" s="1632">
        <v>260979083</v>
      </c>
      <c r="AA16" s="1632">
        <v>928657116</v>
      </c>
      <c r="AB16" s="1632">
        <v>100544</v>
      </c>
    </row>
    <row r="17" spans="1:32" ht="17.100000000000001" customHeight="1">
      <c r="A17" s="579"/>
      <c r="B17" s="1750" t="s">
        <v>458</v>
      </c>
      <c r="C17" s="1892"/>
      <c r="D17" s="1801"/>
      <c r="E17" s="1183" t="str">
        <f>E9</f>
        <v>元</v>
      </c>
      <c r="F17" s="1946">
        <f t="shared" ref="F17:F18" si="1">(Y17-Z17)+(AA17-AB17)</f>
        <v>252741516273</v>
      </c>
      <c r="G17" s="1947"/>
      <c r="H17" s="1948"/>
      <c r="I17" s="1087">
        <f>IF(ISERROR(F17/F16),"－",ROUND(F17/F16*100,1))</f>
        <v>97.4</v>
      </c>
      <c r="J17" s="100"/>
      <c r="K17" s="125"/>
      <c r="L17" s="125"/>
      <c r="M17" s="901"/>
      <c r="N17" s="125"/>
      <c r="O17" s="125"/>
      <c r="P17" s="125"/>
      <c r="Q17" s="901"/>
      <c r="T17" s="652" t="s">
        <v>138</v>
      </c>
      <c r="U17" s="652" t="s">
        <v>459</v>
      </c>
      <c r="V17" s="652"/>
      <c r="Y17" s="1630">
        <v>252815880907</v>
      </c>
      <c r="Z17" s="1630">
        <v>227961430</v>
      </c>
      <c r="AA17" s="1630">
        <v>153596796</v>
      </c>
      <c r="AB17" s="1630">
        <v>0</v>
      </c>
    </row>
    <row r="18" spans="1:32" ht="17.100000000000001" customHeight="1">
      <c r="A18" s="579"/>
      <c r="B18" s="1802" t="s">
        <v>460</v>
      </c>
      <c r="C18" s="1867"/>
      <c r="D18" s="1803"/>
      <c r="E18" s="1184">
        <f>E10</f>
        <v>2</v>
      </c>
      <c r="F18" s="1940">
        <f t="shared" si="1"/>
        <v>239973640237</v>
      </c>
      <c r="G18" s="1941"/>
      <c r="H18" s="1942"/>
      <c r="I18" s="1090">
        <f>IF(ISERROR(F18/F17),"－",ROUND(F18/F17*100,1))</f>
        <v>94.9</v>
      </c>
      <c r="J18" s="100"/>
      <c r="K18" s="125"/>
      <c r="L18" s="125"/>
      <c r="M18" s="901"/>
      <c r="N18" s="125"/>
      <c r="O18" s="125"/>
      <c r="P18" s="125"/>
      <c r="Q18" s="901"/>
      <c r="T18" s="662" t="s">
        <v>461</v>
      </c>
      <c r="U18" s="663" t="str">
        <f>FIXED(ABS(F18/100000000),0)&amp;"億円"</f>
        <v>2,400億円</v>
      </c>
      <c r="V18" s="664">
        <f>ROUND(I19-100,1)</f>
        <v>-0.3</v>
      </c>
      <c r="Y18" s="1630">
        <v>240151874221</v>
      </c>
      <c r="Z18" s="1630">
        <v>178857461</v>
      </c>
      <c r="AA18" s="1630">
        <v>623477</v>
      </c>
      <c r="AB18" s="1630">
        <v>0</v>
      </c>
    </row>
    <row r="19" spans="1:32" ht="17.100000000000001" customHeight="1">
      <c r="A19" s="579"/>
      <c r="B19" s="1804" t="s">
        <v>462</v>
      </c>
      <c r="C19" s="1917"/>
      <c r="D19" s="1805"/>
      <c r="E19" s="1185">
        <f>E11</f>
        <v>3</v>
      </c>
      <c r="F19" s="1937">
        <f>(Y19-Z19)+(AA19-AB19)</f>
        <v>239345570909</v>
      </c>
      <c r="G19" s="1938"/>
      <c r="H19" s="1939"/>
      <c r="I19" s="1097">
        <f>IF(ISERROR(F19/F18),"－",ROUND(F19/F18*100,1))</f>
        <v>99.7</v>
      </c>
      <c r="J19" s="100"/>
      <c r="K19" s="125"/>
      <c r="L19" s="125"/>
      <c r="M19" s="901"/>
      <c r="N19" s="913"/>
      <c r="O19" s="913"/>
      <c r="P19" s="913"/>
      <c r="Q19" s="901"/>
      <c r="T19" s="662" t="s">
        <v>463</v>
      </c>
      <c r="U19" s="663" t="str">
        <f>FIXED(ABS(F19/100000000),0)&amp;"億円"</f>
        <v>2,393億円</v>
      </c>
      <c r="V19" s="652" t="str">
        <f>IF(V18=0,IF(F19=F18,"と同じ",IF(F19&gt;F18,"に比べ微増","に比べ微減")),IF(V18&lt;0,"に比べ"&amp;FIXED(ABS(V18),1)&amp;"％減","に比べ"&amp;FIXED(ABS(V18),1)&amp;"％増"))</f>
        <v>に比べ0.3％減</v>
      </c>
      <c r="Y19" s="1630">
        <v>239519809127</v>
      </c>
      <c r="Z19" s="1630">
        <v>174407058</v>
      </c>
      <c r="AA19" s="1630">
        <v>168840</v>
      </c>
      <c r="AB19" s="1630">
        <v>0</v>
      </c>
    </row>
    <row r="20" spans="1:32" ht="13.2" hidden="1">
      <c r="A20" s="583"/>
      <c r="B20" s="1298"/>
      <c r="C20" s="1299"/>
      <c r="D20" s="1300"/>
      <c r="E20" s="1188">
        <f>E8</f>
        <v>30</v>
      </c>
      <c r="F20" s="1949">
        <f t="shared" ref="F20" si="2">(Y20-Z20)+(AA20-AB20)</f>
        <v>84582253281</v>
      </c>
      <c r="G20" s="1950"/>
      <c r="H20" s="1951"/>
      <c r="I20" s="1085"/>
      <c r="J20" s="883"/>
      <c r="K20" s="884"/>
      <c r="L20" s="884"/>
      <c r="M20" s="902"/>
      <c r="N20" s="882"/>
      <c r="O20" s="882"/>
      <c r="P20" s="882"/>
      <c r="Q20" s="902"/>
      <c r="R20" s="95"/>
      <c r="S20" s="95"/>
      <c r="T20" s="652"/>
      <c r="U20" s="652"/>
      <c r="V20" s="652"/>
      <c r="Y20" s="1630">
        <v>84232894704</v>
      </c>
      <c r="Z20" s="1630">
        <v>26411919</v>
      </c>
      <c r="AA20" s="1630">
        <v>375770496</v>
      </c>
      <c r="AB20" s="1630">
        <v>0</v>
      </c>
    </row>
    <row r="21" spans="1:32" ht="17.100000000000001" customHeight="1">
      <c r="A21" s="579"/>
      <c r="B21" s="1802" t="s">
        <v>464</v>
      </c>
      <c r="C21" s="1867"/>
      <c r="D21" s="1803"/>
      <c r="E21" s="1183" t="str">
        <f>E9</f>
        <v>元</v>
      </c>
      <c r="F21" s="1946">
        <f>(Y21-Z21)+(AA21-AB21)</f>
        <v>83565650244</v>
      </c>
      <c r="G21" s="1947"/>
      <c r="H21" s="1948"/>
      <c r="I21" s="1087">
        <f>IF(ISERROR(F21/F20),"－",ROUND(F21/F20*100,1))</f>
        <v>98.8</v>
      </c>
      <c r="J21" s="100"/>
      <c r="K21" s="125"/>
      <c r="L21" s="125"/>
      <c r="M21" s="901"/>
      <c r="N21" s="125"/>
      <c r="O21" s="125"/>
      <c r="P21" s="125"/>
      <c r="Q21" s="901"/>
      <c r="T21" s="652" t="s">
        <v>139</v>
      </c>
      <c r="U21" s="652"/>
      <c r="V21" s="652"/>
      <c r="Y21" s="1630">
        <v>83534930880</v>
      </c>
      <c r="Z21" s="1630">
        <v>18199356</v>
      </c>
      <c r="AA21" s="1630">
        <v>48918720</v>
      </c>
      <c r="AB21" s="1630">
        <v>0</v>
      </c>
    </row>
    <row r="22" spans="1:32" ht="17.100000000000001" customHeight="1">
      <c r="A22" s="579"/>
      <c r="B22" s="1802" t="s">
        <v>124</v>
      </c>
      <c r="C22" s="1867"/>
      <c r="D22" s="1803"/>
      <c r="E22" s="1184">
        <f>E10</f>
        <v>2</v>
      </c>
      <c r="F22" s="1940">
        <f>(Y22-Z22)+(AA22-AB22)</f>
        <v>83347968800</v>
      </c>
      <c r="G22" s="1941"/>
      <c r="H22" s="1942"/>
      <c r="I22" s="1090">
        <f>IF(ISERROR(F22/F21),"－",ROUND(F22/F21*100,1))</f>
        <v>99.7</v>
      </c>
      <c r="J22" s="100"/>
      <c r="K22" s="125"/>
      <c r="L22" s="125"/>
      <c r="M22" s="901"/>
      <c r="N22" s="125"/>
      <c r="O22" s="125"/>
      <c r="P22" s="125"/>
      <c r="Q22" s="901"/>
      <c r="T22" s="662" t="s">
        <v>461</v>
      </c>
      <c r="U22" s="663" t="str">
        <f>FIXED(ABS(F22/100000000),0)&amp;"億円"</f>
        <v>833億円</v>
      </c>
      <c r="V22" s="664">
        <f>ROUND(I23-100,1)</f>
        <v>0.2</v>
      </c>
      <c r="Y22" s="1630">
        <v>83361968377</v>
      </c>
      <c r="Z22" s="1630">
        <v>14695700</v>
      </c>
      <c r="AA22" s="1630">
        <v>696123</v>
      </c>
      <c r="AB22" s="1630">
        <v>0</v>
      </c>
    </row>
    <row r="23" spans="1:32" ht="17.100000000000001" customHeight="1" thickBot="1">
      <c r="A23" s="1193"/>
      <c r="B23" s="1900" t="s">
        <v>125</v>
      </c>
      <c r="C23" s="1924"/>
      <c r="D23" s="1925"/>
      <c r="E23" s="1191">
        <f>E11</f>
        <v>3</v>
      </c>
      <c r="F23" s="1918">
        <f>(Y23-Z23)+(AA23-AB23)</f>
        <v>83495502900</v>
      </c>
      <c r="G23" s="1919"/>
      <c r="H23" s="1920"/>
      <c r="I23" s="1192">
        <f>IF(ISERROR(F23/F22),"－",ROUND(F23/F22*100,1))</f>
        <v>100.2</v>
      </c>
      <c r="J23" s="100"/>
      <c r="K23" s="125"/>
      <c r="L23" s="125"/>
      <c r="M23" s="901"/>
      <c r="N23" s="913"/>
      <c r="O23" s="913"/>
      <c r="P23" s="913"/>
      <c r="Q23" s="901"/>
      <c r="T23" s="662" t="s">
        <v>463</v>
      </c>
      <c r="U23" s="663" t="str">
        <f>FIXED(ABS(F23/100000000),0)&amp;"億円"</f>
        <v>835億円</v>
      </c>
      <c r="V23" s="652" t="str">
        <f>IF(V22=0,IF(F23=F22,"と同じ",IF(F23&gt;F22,"に比べ微増","に比べ微減")),IF(V22&lt;0,"に比べ"&amp;FIXED(ABS(V22),1)&amp;"％減","に比べ"&amp;FIXED(ABS(V22),1)&amp;"％増"))</f>
        <v>に比べ0.2％増</v>
      </c>
      <c r="Y23" s="1630">
        <v>83509621838</v>
      </c>
      <c r="Z23" s="1630">
        <v>14261100</v>
      </c>
      <c r="AA23" s="1630">
        <v>142162</v>
      </c>
      <c r="AB23" s="1630">
        <v>0</v>
      </c>
    </row>
    <row r="24" spans="1:32" ht="13.8" hidden="1" thickTop="1">
      <c r="A24" s="600"/>
      <c r="B24" s="583"/>
      <c r="C24" s="835"/>
      <c r="D24" s="833"/>
      <c r="E24" s="1189">
        <f>E8</f>
        <v>30</v>
      </c>
      <c r="F24" s="1921">
        <f>(Y24-Z24)+(AA24-AB24)</f>
        <v>274420968880</v>
      </c>
      <c r="G24" s="1922"/>
      <c r="H24" s="1923"/>
      <c r="I24" s="1190"/>
      <c r="J24" s="124"/>
      <c r="K24" s="123"/>
      <c r="L24" s="123"/>
      <c r="M24" s="902"/>
      <c r="N24" s="914"/>
      <c r="O24" s="914"/>
      <c r="P24" s="914"/>
      <c r="Q24" s="902"/>
      <c r="R24" s="95"/>
      <c r="S24" s="95"/>
      <c r="T24" s="652"/>
      <c r="U24" s="652"/>
      <c r="V24" s="652"/>
      <c r="W24" s="44"/>
      <c r="X24" s="8"/>
      <c r="Y24" s="1630">
        <v>274420968880</v>
      </c>
      <c r="Z24" s="1630">
        <v>0</v>
      </c>
      <c r="AA24" s="1630">
        <v>0</v>
      </c>
      <c r="AB24" s="1630">
        <v>0</v>
      </c>
    </row>
    <row r="25" spans="1:32" ht="17.100000000000001" customHeight="1" thickTop="1">
      <c r="A25" s="1802" t="s">
        <v>465</v>
      </c>
      <c r="B25" s="1867"/>
      <c r="C25" s="1867"/>
      <c r="D25" s="1803"/>
      <c r="E25" s="1184" t="str">
        <f>E9</f>
        <v>元</v>
      </c>
      <c r="F25" s="1940">
        <f>(Y25-Z25)</f>
        <v>278953636460</v>
      </c>
      <c r="G25" s="1941"/>
      <c r="H25" s="1942"/>
      <c r="I25" s="1090">
        <f>IF(ISERROR(F25/F24),"－",ROUND(F25/F24*100,1))</f>
        <v>101.7</v>
      </c>
      <c r="J25" s="100"/>
      <c r="K25" s="125"/>
      <c r="L25" s="125"/>
      <c r="M25" s="901"/>
      <c r="N25" s="17"/>
      <c r="O25" s="17"/>
      <c r="P25" s="17"/>
      <c r="Q25" s="903"/>
      <c r="T25" s="652" t="s">
        <v>155</v>
      </c>
      <c r="U25" s="652"/>
      <c r="V25" s="652"/>
      <c r="Y25" s="1630">
        <v>278953636460</v>
      </c>
      <c r="Z25" s="1630">
        <v>0</v>
      </c>
      <c r="AA25" s="1630">
        <v>0</v>
      </c>
      <c r="AB25" s="1630">
        <v>0</v>
      </c>
    </row>
    <row r="26" spans="1:32" ht="17.100000000000001" customHeight="1">
      <c r="A26" s="1802"/>
      <c r="B26" s="1867"/>
      <c r="C26" s="1867"/>
      <c r="D26" s="1803"/>
      <c r="E26" s="1184">
        <f>E10</f>
        <v>2</v>
      </c>
      <c r="F26" s="1940">
        <f>(Y26-Z26)</f>
        <v>283690275736</v>
      </c>
      <c r="G26" s="1941"/>
      <c r="H26" s="1942"/>
      <c r="I26" s="1090">
        <f>IF(ISERROR(F26/F25),"－",ROUND(F26/F25*100,1))</f>
        <v>101.7</v>
      </c>
      <c r="J26" s="100"/>
      <c r="K26" s="125"/>
      <c r="L26" s="125"/>
      <c r="M26" s="901"/>
      <c r="N26" s="17"/>
      <c r="O26" s="17"/>
      <c r="P26" s="17"/>
      <c r="Q26" s="903"/>
      <c r="T26" s="662" t="s">
        <v>461</v>
      </c>
      <c r="U26" s="663" t="str">
        <f>FIXED(ABS(F26/100000000),0)&amp;"億円"</f>
        <v>2,837億円</v>
      </c>
      <c r="V26" s="664">
        <f>ROUND(I27-100,1)</f>
        <v>2.1</v>
      </c>
      <c r="Y26" s="1630">
        <v>283690275736</v>
      </c>
      <c r="Z26" s="1630">
        <v>0</v>
      </c>
      <c r="AA26" s="1630">
        <v>0</v>
      </c>
      <c r="AB26" s="1630">
        <v>0</v>
      </c>
    </row>
    <row r="27" spans="1:32" ht="17.100000000000001" customHeight="1">
      <c r="A27" s="1804" t="s">
        <v>127</v>
      </c>
      <c r="B27" s="1917"/>
      <c r="C27" s="1917"/>
      <c r="D27" s="1805"/>
      <c r="E27" s="1185">
        <f>E11</f>
        <v>3</v>
      </c>
      <c r="F27" s="1937">
        <f>(Y27-Z27)</f>
        <v>289528471933</v>
      </c>
      <c r="G27" s="1938"/>
      <c r="H27" s="1939"/>
      <c r="I27" s="1097">
        <f>IF(ISERROR(F27/F26),"－",ROUND(F27/F26*100,1))</f>
        <v>102.1</v>
      </c>
      <c r="J27" s="100"/>
      <c r="K27" s="125"/>
      <c r="L27" s="125"/>
      <c r="M27" s="901"/>
      <c r="N27" s="17"/>
      <c r="O27" s="17"/>
      <c r="P27" s="17"/>
      <c r="Q27" s="903"/>
      <c r="T27" s="662" t="s">
        <v>463</v>
      </c>
      <c r="U27" s="663" t="str">
        <f>FIXED(ABS(F27/100000000),0)&amp;"億円"</f>
        <v>2,895億円</v>
      </c>
      <c r="V27" s="652" t="str">
        <f>IF(V26=0,IF(F27=F26,"と同じ",IF(F27&gt;F26,"に比べ微増","に比べ微減")),IF(V26&lt;0,"に比べ"&amp;FIXED(ABS(V26),1)&amp;"％減","に比べ"&amp;FIXED(ABS(V26),1)&amp;"％増"))</f>
        <v>に比べ2.1％増</v>
      </c>
      <c r="Y27" s="1630">
        <v>289528471933</v>
      </c>
      <c r="Z27" s="1630">
        <v>0</v>
      </c>
      <c r="AA27" s="1630">
        <v>0</v>
      </c>
      <c r="AB27" s="1630">
        <v>0</v>
      </c>
    </row>
    <row r="28" spans="1:32" ht="17.25" customHeight="1">
      <c r="E28" s="20" t="s">
        <v>128</v>
      </c>
    </row>
    <row r="29" spans="1:32" ht="18" customHeight="1">
      <c r="D29" s="848"/>
      <c r="E29" s="848"/>
      <c r="F29" s="657"/>
      <c r="G29" s="657"/>
      <c r="H29" s="657"/>
      <c r="I29" s="657"/>
      <c r="J29" s="657"/>
      <c r="K29" s="657"/>
      <c r="L29" s="657"/>
      <c r="M29" s="657"/>
      <c r="N29" s="657"/>
      <c r="O29" s="657"/>
      <c r="P29" s="657"/>
      <c r="Q29" s="657"/>
      <c r="R29" s="657"/>
      <c r="S29" s="657"/>
    </row>
    <row r="30" spans="1:32" s="22" customFormat="1" ht="23.25" customHeight="1">
      <c r="B30" s="881"/>
      <c r="C30" s="47"/>
      <c r="D30" s="47"/>
      <c r="E30" s="47"/>
    </row>
    <row r="31" spans="1:32" s="22" customFormat="1" ht="21" customHeight="1">
      <c r="B31" s="615"/>
      <c r="C31" s="823" t="s">
        <v>477</v>
      </c>
      <c r="D31" s="623"/>
      <c r="E31" s="623"/>
      <c r="F31" s="615"/>
      <c r="G31" s="615"/>
      <c r="H31" s="615"/>
      <c r="I31" s="615"/>
      <c r="J31" s="615"/>
      <c r="K31" s="615"/>
      <c r="L31" s="615"/>
      <c r="M31" s="615"/>
      <c r="N31" s="1934" t="s">
        <v>453</v>
      </c>
      <c r="O31" s="1934"/>
      <c r="P31" s="1934"/>
      <c r="Q31" s="1934"/>
      <c r="R31" s="1934"/>
    </row>
    <row r="32" spans="1:32" s="21" customFormat="1" ht="18" customHeight="1">
      <c r="A32" s="543"/>
      <c r="B32" s="880"/>
      <c r="C32" s="824"/>
      <c r="D32" s="576"/>
      <c r="E32" s="540"/>
      <c r="F32" s="824" t="s">
        <v>129</v>
      </c>
      <c r="G32" s="824"/>
      <c r="H32" s="824"/>
      <c r="I32" s="836"/>
      <c r="J32" s="824" t="s">
        <v>130</v>
      </c>
      <c r="K32" s="824"/>
      <c r="L32" s="824"/>
      <c r="M32" s="836"/>
      <c r="N32" s="824" t="s">
        <v>130</v>
      </c>
      <c r="O32" s="824"/>
      <c r="P32" s="824"/>
      <c r="Q32" s="836"/>
      <c r="R32" s="541" t="s">
        <v>131</v>
      </c>
      <c r="Y32" s="1844" t="s">
        <v>1154</v>
      </c>
      <c r="Z32" s="1844" t="s">
        <v>1155</v>
      </c>
      <c r="AA32" s="1844" t="s">
        <v>1156</v>
      </c>
      <c r="AB32" s="1844" t="s">
        <v>1157</v>
      </c>
      <c r="AC32" s="1844" t="s">
        <v>1158</v>
      </c>
      <c r="AD32" s="1844" t="s">
        <v>1159</v>
      </c>
      <c r="AE32" s="1844" t="s">
        <v>1160</v>
      </c>
      <c r="AF32" s="1844" t="s">
        <v>1161</v>
      </c>
    </row>
    <row r="33" spans="1:32" s="21" customFormat="1" ht="15" customHeight="1">
      <c r="A33" s="539"/>
      <c r="B33" s="825" t="s">
        <v>118</v>
      </c>
      <c r="C33" s="825"/>
      <c r="D33" s="597"/>
      <c r="E33" s="826" t="s">
        <v>0</v>
      </c>
      <c r="F33" s="837" t="s">
        <v>466</v>
      </c>
      <c r="G33" s="837"/>
      <c r="H33" s="837"/>
      <c r="I33" s="838"/>
      <c r="J33" s="837" t="s">
        <v>467</v>
      </c>
      <c r="K33" s="837"/>
      <c r="L33" s="837"/>
      <c r="M33" s="838"/>
      <c r="N33" s="837" t="s">
        <v>467</v>
      </c>
      <c r="O33" s="837"/>
      <c r="P33" s="837"/>
      <c r="Q33" s="838"/>
      <c r="R33" s="541" t="s">
        <v>132</v>
      </c>
      <c r="Y33" s="1844"/>
      <c r="Z33" s="1844"/>
      <c r="AA33" s="1844"/>
      <c r="AB33" s="1844"/>
      <c r="AC33" s="1844"/>
      <c r="AD33" s="1844"/>
      <c r="AE33" s="1844"/>
      <c r="AF33" s="1844"/>
    </row>
    <row r="34" spans="1:32" s="21" customFormat="1" ht="18" customHeight="1">
      <c r="A34" s="539"/>
      <c r="B34" s="880"/>
      <c r="C34" s="824"/>
      <c r="D34" s="576"/>
      <c r="E34" s="540"/>
      <c r="F34" s="825" t="s">
        <v>133</v>
      </c>
      <c r="G34" s="825"/>
      <c r="H34" s="825"/>
      <c r="I34" s="839"/>
      <c r="J34" s="825" t="s">
        <v>134</v>
      </c>
      <c r="K34" s="825"/>
      <c r="L34" s="825"/>
      <c r="M34" s="839"/>
      <c r="N34" s="825" t="s">
        <v>135</v>
      </c>
      <c r="O34" s="825"/>
      <c r="P34" s="825"/>
      <c r="Q34" s="839"/>
      <c r="R34" s="826" t="s">
        <v>136</v>
      </c>
      <c r="T34" s="1" t="s">
        <v>469</v>
      </c>
      <c r="U34" s="1"/>
      <c r="V34" s="1"/>
      <c r="W34" s="1"/>
      <c r="Y34" s="1844"/>
      <c r="Z34" s="1844"/>
      <c r="AA34" s="1844"/>
      <c r="AB34" s="1844"/>
      <c r="AC34" s="1844"/>
      <c r="AD34" s="1844"/>
      <c r="AE34" s="1844"/>
      <c r="AF34" s="1844"/>
    </row>
    <row r="35" spans="1:32" s="21" customFormat="1" ht="24" customHeight="1">
      <c r="A35" s="559"/>
      <c r="B35" s="827" t="s">
        <v>119</v>
      </c>
      <c r="C35" s="827"/>
      <c r="D35" s="570"/>
      <c r="E35" s="828" t="s">
        <v>1</v>
      </c>
      <c r="F35" s="1894" t="s">
        <v>468</v>
      </c>
      <c r="G35" s="1956"/>
      <c r="H35" s="1957"/>
      <c r="I35" s="850" t="s">
        <v>120</v>
      </c>
      <c r="J35" s="1894" t="s">
        <v>468</v>
      </c>
      <c r="K35" s="1956"/>
      <c r="L35" s="1957"/>
      <c r="M35" s="850" t="s">
        <v>120</v>
      </c>
      <c r="N35" s="1894" t="s">
        <v>468</v>
      </c>
      <c r="O35" s="1956"/>
      <c r="P35" s="1957"/>
      <c r="Q35" s="850" t="s">
        <v>120</v>
      </c>
      <c r="R35" s="840" t="s">
        <v>468</v>
      </c>
      <c r="T35" s="1"/>
      <c r="U35" s="1"/>
      <c r="V35" s="1"/>
      <c r="W35" s="1"/>
      <c r="Y35" s="1605" t="s">
        <v>749</v>
      </c>
      <c r="Z35" s="1605" t="s">
        <v>750</v>
      </c>
      <c r="AA35" s="1605" t="s">
        <v>751</v>
      </c>
      <c r="AB35" s="1605" t="s">
        <v>752</v>
      </c>
      <c r="AC35" s="1605" t="s">
        <v>753</v>
      </c>
      <c r="AD35" s="1605" t="s">
        <v>611</v>
      </c>
      <c r="AE35" s="1605" t="s">
        <v>754</v>
      </c>
      <c r="AF35" s="1605" t="s">
        <v>755</v>
      </c>
    </row>
    <row r="36" spans="1:32" hidden="1">
      <c r="A36" s="571"/>
      <c r="B36" s="829"/>
      <c r="C36" s="829"/>
      <c r="D36" s="830"/>
      <c r="E36" s="1301">
        <f>情報!$B$5</f>
        <v>30</v>
      </c>
      <c r="F36" s="1868">
        <f>IF(AC36=0,0,(Y36-Z36+AA36-AB36)/AC36)</f>
        <v>161052.53247453138</v>
      </c>
      <c r="G36" s="1874"/>
      <c r="H36" s="1874"/>
      <c r="I36" s="667"/>
      <c r="J36" s="1868">
        <f>IF(AD36=0,0,(Y36-Z36+AA36-AB36)/AD36)</f>
        <v>111960.27773508384</v>
      </c>
      <c r="K36" s="1874"/>
      <c r="L36" s="1874"/>
      <c r="M36" s="667"/>
      <c r="N36" s="1868">
        <f>IF(AD36=0,0,(AE36+AF36)/AD36)</f>
        <v>99139.329785125257</v>
      </c>
      <c r="O36" s="1874"/>
      <c r="P36" s="1874"/>
      <c r="Q36" s="667"/>
      <c r="R36" s="1302"/>
      <c r="X36" s="21"/>
      <c r="Y36" s="58">
        <v>342953587007</v>
      </c>
      <c r="Z36" s="58">
        <v>287391002</v>
      </c>
      <c r="AA36" s="58">
        <v>1304427612</v>
      </c>
      <c r="AB36" s="58">
        <v>100544</v>
      </c>
      <c r="AC36" s="58">
        <v>2135766</v>
      </c>
      <c r="AD36" s="58">
        <v>3072255</v>
      </c>
      <c r="AE36" s="58">
        <v>303321550739</v>
      </c>
      <c r="AF36" s="58">
        <v>1259750890</v>
      </c>
    </row>
    <row r="37" spans="1:32" ht="15.9" customHeight="1">
      <c r="A37" s="1802" t="s">
        <v>455</v>
      </c>
      <c r="B37" s="1867"/>
      <c r="C37" s="1867"/>
      <c r="D37" s="1803"/>
      <c r="E37" s="1086" t="str">
        <f>情報!$B$4</f>
        <v>元</v>
      </c>
      <c r="F37" s="1886">
        <f t="shared" ref="F37:F38" si="3">IF(AC37=0,0,(Y37-Z37+AA37-AB37)/AC37)</f>
        <v>161668.02782044126</v>
      </c>
      <c r="G37" s="1935"/>
      <c r="H37" s="1936"/>
      <c r="I37" s="1087">
        <f>IF(ISERROR(F37/F36),"－",ROUND(F37/F36*100,1))</f>
        <v>100.4</v>
      </c>
      <c r="J37" s="1886">
        <f t="shared" ref="J37:J38" si="4">IF(AD37=0,0,(Y37-Z37+AA37-AB37)/AD37)</f>
        <v>114023.18541273446</v>
      </c>
      <c r="K37" s="1935"/>
      <c r="L37" s="1936"/>
      <c r="M37" s="1087">
        <f>IF(ISERROR(J37/J36),"－",ROUND(J37/J36*100,1))</f>
        <v>101.8</v>
      </c>
      <c r="N37" s="1886">
        <f t="shared" ref="N37:N38" si="5">IF(AD37=0,0,(AE37+AF37)/AD37)</f>
        <v>101386.28565810116</v>
      </c>
      <c r="O37" s="1935"/>
      <c r="P37" s="1936"/>
      <c r="Q37" s="1087">
        <f>IF(ISERROR(N37/N36),"－",ROUND(N37/N36*100,1))</f>
        <v>102.3</v>
      </c>
      <c r="R37" s="1088">
        <f>IF(ISERROR(N37/J37),"－",N37/J37*100)</f>
        <v>88.917254233083398</v>
      </c>
      <c r="X37" s="21"/>
      <c r="Y37" s="1544">
        <v>336350811787</v>
      </c>
      <c r="Z37" s="1544">
        <v>246160786</v>
      </c>
      <c r="AA37" s="1544">
        <v>202515516</v>
      </c>
      <c r="AB37" s="1544">
        <v>0</v>
      </c>
      <c r="AC37" s="1544">
        <v>2080233</v>
      </c>
      <c r="AD37" s="1544">
        <v>2949463</v>
      </c>
      <c r="AE37" s="1544">
        <v>298842336844</v>
      </c>
      <c r="AF37" s="1544">
        <v>192761412</v>
      </c>
    </row>
    <row r="38" spans="1:32" ht="15.9" customHeight="1">
      <c r="A38" s="1802" t="s">
        <v>456</v>
      </c>
      <c r="B38" s="1867"/>
      <c r="C38" s="1867"/>
      <c r="D38" s="1803"/>
      <c r="E38" s="1089">
        <f>情報!$B$3</f>
        <v>2</v>
      </c>
      <c r="F38" s="1878">
        <f t="shared" si="3"/>
        <v>158980.23871355082</v>
      </c>
      <c r="G38" s="1879"/>
      <c r="H38" s="1880"/>
      <c r="I38" s="1090">
        <f>IF(ISERROR(F38/F37),"－",ROUND(F38/F37*100,1))</f>
        <v>98.3</v>
      </c>
      <c r="J38" s="1878">
        <f t="shared" si="4"/>
        <v>113083.95285312415</v>
      </c>
      <c r="K38" s="1879"/>
      <c r="L38" s="1880"/>
      <c r="M38" s="1090">
        <f>IF(ISERROR(J38/J37),"－",ROUND(J38/J37*100,1))</f>
        <v>99.2</v>
      </c>
      <c r="N38" s="1878">
        <f t="shared" si="5"/>
        <v>102065.39954510622</v>
      </c>
      <c r="O38" s="1879"/>
      <c r="P38" s="1880"/>
      <c r="Q38" s="1090">
        <f>IF(ISERROR(N38/N37),"－",ROUND(N38/N37*100,1))</f>
        <v>100.7</v>
      </c>
      <c r="R38" s="1088">
        <f>IF(ISERROR(N38/J38),"－",N38/J38*100)</f>
        <v>90.256306902952829</v>
      </c>
      <c r="X38" s="21"/>
      <c r="Y38" s="1544">
        <v>323513842598</v>
      </c>
      <c r="Z38" s="1544">
        <v>193553161</v>
      </c>
      <c r="AA38" s="1544">
        <v>1319600</v>
      </c>
      <c r="AB38" s="1544">
        <v>0</v>
      </c>
      <c r="AC38" s="1544">
        <v>2033722</v>
      </c>
      <c r="AD38" s="1544">
        <v>2859129</v>
      </c>
      <c r="AE38" s="1544">
        <v>291816866915</v>
      </c>
      <c r="AF38" s="1544">
        <v>1276821</v>
      </c>
    </row>
    <row r="39" spans="1:32" ht="15.9" customHeight="1">
      <c r="A39" s="1802" t="s">
        <v>457</v>
      </c>
      <c r="B39" s="1867"/>
      <c r="C39" s="1867"/>
      <c r="D39" s="1803"/>
      <c r="E39" s="1091">
        <f>情報!$B$2</f>
        <v>3</v>
      </c>
      <c r="F39" s="1881">
        <f>IF(AC39=0,0,(Y39-Z39+AA39-AB39)/AC39)</f>
        <v>162072.22933867079</v>
      </c>
      <c r="G39" s="1882"/>
      <c r="H39" s="1883"/>
      <c r="I39" s="1092">
        <f>IF(ISERROR(F39/F38),"－",ROUND(F39/F38*100,1))</f>
        <v>101.9</v>
      </c>
      <c r="J39" s="1881">
        <f>IF(AD39=0,0,(Y39-Z39+AA39-AB39)/AD39)</f>
        <v>116189.23112129218</v>
      </c>
      <c r="K39" s="1882"/>
      <c r="L39" s="1883"/>
      <c r="M39" s="1092">
        <f>IF(ISERROR(J39/J38),"－",ROUND(J39/J38*100,1))</f>
        <v>102.7</v>
      </c>
      <c r="N39" s="1881">
        <f>IF(AD39=0,0,(AE39+AF39)/AD39)</f>
        <v>106230.07908284088</v>
      </c>
      <c r="O39" s="1882"/>
      <c r="P39" s="1883"/>
      <c r="Q39" s="1092">
        <f>IF(ISERROR(N39/N38),"－",ROUND(N39/N38*100,1))</f>
        <v>104.1</v>
      </c>
      <c r="R39" s="1093">
        <f>IF(ISERROR(N39/J39),"－",N39/J39*100)</f>
        <v>91.428506805372734</v>
      </c>
      <c r="X39" s="21"/>
      <c r="Y39" s="1544">
        <v>323029430965</v>
      </c>
      <c r="Z39" s="1544">
        <v>188668158</v>
      </c>
      <c r="AA39" s="1544">
        <v>311002</v>
      </c>
      <c r="AB39" s="1544">
        <v>0</v>
      </c>
      <c r="AC39" s="1544">
        <v>1991958</v>
      </c>
      <c r="AD39" s="1544">
        <v>2778580</v>
      </c>
      <c r="AE39" s="1544">
        <v>295168462136</v>
      </c>
      <c r="AF39" s="1544">
        <v>311002</v>
      </c>
    </row>
    <row r="40" spans="1:32" hidden="1">
      <c r="A40" s="571"/>
      <c r="B40" s="908"/>
      <c r="C40" s="909"/>
      <c r="D40" s="910"/>
      <c r="E40" s="911">
        <f>E36</f>
        <v>30</v>
      </c>
      <c r="F40" s="1875">
        <f>IF(AC40=0,0,(Y40-Z40+AA40-AB40)/AC40)</f>
        <v>171606.43175590297</v>
      </c>
      <c r="G40" s="1876"/>
      <c r="H40" s="1877"/>
      <c r="I40" s="907"/>
      <c r="J40" s="1875">
        <f>IF(AD40=0,0,(Y40-Z40+AA40-AB40)/AD40)</f>
        <v>122189.09725872333</v>
      </c>
      <c r="K40" s="1876"/>
      <c r="L40" s="1877"/>
      <c r="M40" s="907"/>
      <c r="N40" s="1875">
        <f>IF(AD40=0,0,(AE40+AF40)/AD40)</f>
        <v>106095.54804005761</v>
      </c>
      <c r="O40" s="1876"/>
      <c r="P40" s="1877"/>
      <c r="Q40" s="907"/>
      <c r="R40" s="912"/>
      <c r="Y40" s="1544">
        <f>Y16</f>
        <v>258720692303</v>
      </c>
      <c r="Z40" s="1544">
        <f t="shared" ref="Z40:AB40" si="6">Z16</f>
        <v>260979083</v>
      </c>
      <c r="AA40" s="1544">
        <f t="shared" si="6"/>
        <v>928657116</v>
      </c>
      <c r="AB40" s="1544">
        <f t="shared" si="6"/>
        <v>100544</v>
      </c>
      <c r="AC40" s="1544">
        <v>1511530</v>
      </c>
      <c r="AD40" s="1544">
        <v>2122843</v>
      </c>
      <c r="AE40" s="1544">
        <v>224330494112</v>
      </c>
      <c r="AF40" s="1544">
        <v>893697376</v>
      </c>
    </row>
    <row r="41" spans="1:32" ht="15.9" customHeight="1">
      <c r="A41" s="579"/>
      <c r="B41" s="1750" t="s">
        <v>121</v>
      </c>
      <c r="C41" s="1892"/>
      <c r="D41" s="1801"/>
      <c r="E41" s="1119" t="str">
        <f>E37</f>
        <v>元</v>
      </c>
      <c r="F41" s="1886">
        <f t="shared" ref="F41:F43" si="7">IF(AC41=0,0,(Y41-Z41+AA41-AB41)/AC41)</f>
        <v>171904.70430922255</v>
      </c>
      <c r="G41" s="1887"/>
      <c r="H41" s="1887"/>
      <c r="I41" s="1087" t="str">
        <f>IF(ISERROR(F41/#REF!),"－",ROUND(F41/#REF!*100,1))</f>
        <v>－</v>
      </c>
      <c r="J41" s="1886">
        <f t="shared" ref="J41:J43" si="8">IF(AD41=0,0,(Y41-Z41+AA41-AB41)/AD41)</f>
        <v>124195.41337355549</v>
      </c>
      <c r="K41" s="1887"/>
      <c r="L41" s="1887"/>
      <c r="M41" s="1087" t="str">
        <f>IF(ISERROR(J41/#REF!),"－",ROUND(J41/#REF!*100,1))</f>
        <v>－</v>
      </c>
      <c r="N41" s="1886">
        <f t="shared" ref="N41:N43" si="9">IF(AD41=0,0,(AE41+AF41)/AD41)</f>
        <v>108462.86690079905</v>
      </c>
      <c r="O41" s="1887"/>
      <c r="P41" s="1887"/>
      <c r="Q41" s="1087" t="str">
        <f>IF(ISERROR(N41/#REF!),"－",ROUND(N41/#REF!*100,1))</f>
        <v>－</v>
      </c>
      <c r="R41" s="1120">
        <f>IF(ISERROR(N41/J41),"－",N41/J41*100)</f>
        <v>87.332425533754602</v>
      </c>
      <c r="T41" s="1" t="s">
        <v>470</v>
      </c>
      <c r="V41" s="1" t="s">
        <v>471</v>
      </c>
      <c r="Y41" s="1544">
        <f t="shared" ref="Y41:AB43" si="10">Y17</f>
        <v>252815880907</v>
      </c>
      <c r="Z41" s="1544">
        <f t="shared" si="10"/>
        <v>227961430</v>
      </c>
      <c r="AA41" s="1544">
        <f t="shared" si="10"/>
        <v>153596796</v>
      </c>
      <c r="AB41" s="1544">
        <f t="shared" si="10"/>
        <v>0</v>
      </c>
      <c r="AC41" s="1544">
        <v>1470242</v>
      </c>
      <c r="AD41" s="1544">
        <v>2035031</v>
      </c>
      <c r="AE41" s="1544">
        <v>220580702907</v>
      </c>
      <c r="AF41" s="1544">
        <v>144593585</v>
      </c>
    </row>
    <row r="42" spans="1:32" ht="15.9" customHeight="1">
      <c r="A42" s="579"/>
      <c r="B42" s="1802" t="s">
        <v>122</v>
      </c>
      <c r="C42" s="1867"/>
      <c r="D42" s="1803"/>
      <c r="E42" s="1089">
        <f>E38</f>
        <v>2</v>
      </c>
      <c r="F42" s="1878">
        <f t="shared" si="7"/>
        <v>167839.43851331077</v>
      </c>
      <c r="G42" s="1888"/>
      <c r="H42" s="1888"/>
      <c r="I42" s="1090">
        <f>IF(ISERROR(F42/F41),"－",ROUND(F42/F41*100,1))</f>
        <v>97.6</v>
      </c>
      <c r="J42" s="1878">
        <f t="shared" si="8"/>
        <v>122213.23981482661</v>
      </c>
      <c r="K42" s="1888"/>
      <c r="L42" s="1888"/>
      <c r="M42" s="1090">
        <f>IF(ISERROR(J42/J41),"－",ROUND(J42/J41*100,1))</f>
        <v>98.4</v>
      </c>
      <c r="N42" s="1878">
        <f t="shared" si="9"/>
        <v>108476.33519134839</v>
      </c>
      <c r="O42" s="1888"/>
      <c r="P42" s="1888"/>
      <c r="Q42" s="1090">
        <f>IF(ISERROR(N42/N41),"－",ROUND(N42/N41*100,1))</f>
        <v>100</v>
      </c>
      <c r="R42" s="1088">
        <f>IF(ISERROR(N42/J42),"－",N42/J42*100)</f>
        <v>88.759888335918504</v>
      </c>
      <c r="T42" s="652"/>
      <c r="U42" s="669">
        <f>ROUND(M43-100,1)</f>
        <v>3.1</v>
      </c>
      <c r="V42" s="662"/>
      <c r="W42" s="670">
        <f>ROUND(R43-R42,2)</f>
        <v>1.33</v>
      </c>
      <c r="Y42" s="1544">
        <f t="shared" si="10"/>
        <v>240151874221</v>
      </c>
      <c r="Z42" s="1544">
        <f t="shared" si="10"/>
        <v>178857461</v>
      </c>
      <c r="AA42" s="1544">
        <f t="shared" si="10"/>
        <v>623477</v>
      </c>
      <c r="AB42" s="1544">
        <f t="shared" si="10"/>
        <v>0</v>
      </c>
      <c r="AC42" s="1544">
        <v>1429781</v>
      </c>
      <c r="AD42" s="1544">
        <v>1963565</v>
      </c>
      <c r="AE42" s="1544">
        <v>212999754412</v>
      </c>
      <c r="AF42" s="1544">
        <v>580698</v>
      </c>
    </row>
    <row r="43" spans="1:32" ht="15.9" customHeight="1">
      <c r="A43" s="579"/>
      <c r="B43" s="1804" t="s">
        <v>472</v>
      </c>
      <c r="C43" s="1917"/>
      <c r="D43" s="1805"/>
      <c r="E43" s="851">
        <f>E39</f>
        <v>3</v>
      </c>
      <c r="F43" s="1884">
        <f t="shared" si="7"/>
        <v>171768.06390378225</v>
      </c>
      <c r="G43" s="1885"/>
      <c r="H43" s="1885"/>
      <c r="I43" s="1097">
        <f>IF(ISERROR(F43/F42),"－",ROUND(F43/F42*100,1))</f>
        <v>102.3</v>
      </c>
      <c r="J43" s="1884">
        <f t="shared" si="8"/>
        <v>126041.53834556295</v>
      </c>
      <c r="K43" s="1885"/>
      <c r="L43" s="1885"/>
      <c r="M43" s="1097">
        <f>IF(ISERROR(J43/J42),"－",ROUND(J43/J42*100,1))</f>
        <v>103.1</v>
      </c>
      <c r="N43" s="1884">
        <f t="shared" si="9"/>
        <v>113551.94513365864</v>
      </c>
      <c r="O43" s="1885"/>
      <c r="P43" s="1885"/>
      <c r="Q43" s="1097">
        <f>IF(ISERROR(N43/N42),"－",ROUND(N43/N42*100,1))</f>
        <v>104.7</v>
      </c>
      <c r="R43" s="1098">
        <f>IF(ISERROR(N43/J43),"－",N43/J43*100)</f>
        <v>90.090891165052184</v>
      </c>
      <c r="T43" s="662" t="str">
        <f>FIXED(ABS(J43),0)&amp;"円"</f>
        <v>126,042円</v>
      </c>
      <c r="U43" s="671" t="str">
        <f>IF(U42=0,IF(J43=J42,"同率",IF(J43&gt;J42,"微増","微減")),IF(U42&lt;0,FIXED(ABS(U42),1)&amp;"％減",FIXED(ABS(U42),1)&amp;"％増"))</f>
        <v>3.1％増</v>
      </c>
      <c r="V43" s="662" t="str">
        <f>FIXED(R43,2)&amp;"％"</f>
        <v>90.09％</v>
      </c>
      <c r="W43" s="671" t="str">
        <f>IF(W42=0,IF(R43=R42,"同率",IF(R43&gt;R42,"微増","微減")),IF(W42&lt;0,FIXED(ABS(W42),2)&amp;"ﾎﾟｲﾝﾄ減",FIXED(ABS(W42),2)&amp;"ﾎﾟｲﾝﾄ増"))</f>
        <v>1.33ﾎﾟｲﾝﾄ増</v>
      </c>
      <c r="Y43" s="1544">
        <f t="shared" si="10"/>
        <v>239519809127</v>
      </c>
      <c r="Z43" s="1544">
        <f t="shared" si="10"/>
        <v>174407058</v>
      </c>
      <c r="AA43" s="1544">
        <f t="shared" si="10"/>
        <v>168840</v>
      </c>
      <c r="AB43" s="1544">
        <f t="shared" si="10"/>
        <v>0</v>
      </c>
      <c r="AC43" s="1544">
        <v>1393423</v>
      </c>
      <c r="AD43" s="1544">
        <v>1898942</v>
      </c>
      <c r="AE43" s="1544">
        <v>215628388956</v>
      </c>
      <c r="AF43" s="1544">
        <v>168840</v>
      </c>
    </row>
    <row r="44" spans="1:32" hidden="1">
      <c r="A44" s="571"/>
      <c r="B44" s="905"/>
      <c r="C44" s="829"/>
      <c r="D44" s="830"/>
      <c r="E44" s="831">
        <f>E36</f>
        <v>30</v>
      </c>
      <c r="F44" s="1868">
        <f>IF(AC44=0,0,(Y44-Z44+AA44-AB44)/AC44)</f>
        <v>135497.23707219705</v>
      </c>
      <c r="G44" s="1869"/>
      <c r="H44" s="1870"/>
      <c r="I44" s="906"/>
      <c r="J44" s="1868">
        <f>IF(AD44=0,0,(Y44-Z44+AA44-AB44)/AD44)</f>
        <v>89089.092281327816</v>
      </c>
      <c r="K44" s="1869"/>
      <c r="L44" s="1870"/>
      <c r="M44" s="906"/>
      <c r="N44" s="1868">
        <f>IF(AD44=0,0,(AE44+AF44)/AD44)</f>
        <v>83585.535195468357</v>
      </c>
      <c r="O44" s="1869"/>
      <c r="P44" s="1870"/>
      <c r="Q44" s="906"/>
      <c r="R44" s="668"/>
      <c r="T44" s="58"/>
      <c r="U44" s="58"/>
      <c r="V44" s="58"/>
      <c r="W44" s="58"/>
      <c r="Y44" s="1544">
        <f t="shared" ref="Y44:AB44" si="11">Y20</f>
        <v>84232894704</v>
      </c>
      <c r="Z44" s="1544">
        <f t="shared" si="11"/>
        <v>26411919</v>
      </c>
      <c r="AA44" s="1544">
        <f t="shared" si="11"/>
        <v>375770496</v>
      </c>
      <c r="AB44" s="1544">
        <f t="shared" si="11"/>
        <v>0</v>
      </c>
      <c r="AC44" s="1544">
        <v>624236</v>
      </c>
      <c r="AD44" s="1544">
        <v>949412</v>
      </c>
      <c r="AE44" s="1544">
        <v>78991056627</v>
      </c>
      <c r="AF44" s="1544">
        <v>366053514</v>
      </c>
    </row>
    <row r="45" spans="1:32" ht="15.9" customHeight="1">
      <c r="A45" s="579"/>
      <c r="B45" s="1750" t="s">
        <v>123</v>
      </c>
      <c r="C45" s="1892"/>
      <c r="D45" s="1801"/>
      <c r="E45" s="1119" t="str">
        <f>E37</f>
        <v>元</v>
      </c>
      <c r="F45" s="1886">
        <f t="shared" ref="F45:F47" si="12">IF(AC45=0,0,(Y45-Z45+AA45-AB45)/AC45)</f>
        <v>136994.8904885482</v>
      </c>
      <c r="G45" s="1887"/>
      <c r="H45" s="1931"/>
      <c r="I45" s="1087" t="str">
        <f>IF(ISERROR(F45/#REF!),"－",ROUND(F45/#REF!*100,1))</f>
        <v>－</v>
      </c>
      <c r="J45" s="1886">
        <f t="shared" ref="J45:J47" si="13">IF(AD45=0,0,(Y45-Z45+AA45-AB45)/AD45)</f>
        <v>91385.308305046186</v>
      </c>
      <c r="K45" s="1887"/>
      <c r="L45" s="1931"/>
      <c r="M45" s="1087" t="str">
        <f>IF(ISERROR(J45/#REF!),"－",ROUND(J45/#REF!*100,1))</f>
        <v>－</v>
      </c>
      <c r="N45" s="1886">
        <f t="shared" ref="N45:N47" si="14">IF(AD45=0,0,(AE45+AF45)/AD45)</f>
        <v>85637.643656389977</v>
      </c>
      <c r="O45" s="1887"/>
      <c r="P45" s="1931"/>
      <c r="Q45" s="1087" t="str">
        <f>IF(ISERROR(N45/#REF!),"－",ROUND(N45/#REF!*100,1))</f>
        <v>－</v>
      </c>
      <c r="R45" s="1120">
        <f>IF(ISERROR(N45/J45),"－",N45/J45*100)</f>
        <v>93.710515666839598</v>
      </c>
      <c r="T45" s="58"/>
      <c r="U45" s="58"/>
      <c r="V45" s="58"/>
      <c r="W45" s="58"/>
      <c r="Y45" s="1544">
        <f t="shared" ref="Y45:AB45" si="15">Y21</f>
        <v>83534930880</v>
      </c>
      <c r="Z45" s="1544">
        <f t="shared" si="15"/>
        <v>18199356</v>
      </c>
      <c r="AA45" s="1544">
        <f t="shared" si="15"/>
        <v>48918720</v>
      </c>
      <c r="AB45" s="1544">
        <f t="shared" si="15"/>
        <v>0</v>
      </c>
      <c r="AC45" s="1544">
        <v>609991</v>
      </c>
      <c r="AD45" s="1544">
        <v>914432</v>
      </c>
      <c r="AE45" s="1544">
        <v>78261633937</v>
      </c>
      <c r="AF45" s="1544">
        <v>48167827</v>
      </c>
    </row>
    <row r="46" spans="1:32" ht="15.9" customHeight="1">
      <c r="A46" s="579"/>
      <c r="B46" s="1802" t="s">
        <v>124</v>
      </c>
      <c r="C46" s="1867"/>
      <c r="D46" s="1803"/>
      <c r="E46" s="1089">
        <f>E38</f>
        <v>2</v>
      </c>
      <c r="F46" s="1878">
        <f t="shared" si="12"/>
        <v>138006.80662515046</v>
      </c>
      <c r="G46" s="1888"/>
      <c r="H46" s="1963"/>
      <c r="I46" s="1090">
        <f>IF(ISERROR(F46/F45),"－",ROUND(F46/F45*100,1))</f>
        <v>100.7</v>
      </c>
      <c r="J46" s="1878">
        <f t="shared" si="13"/>
        <v>93067.573953396961</v>
      </c>
      <c r="K46" s="1888"/>
      <c r="L46" s="1963"/>
      <c r="M46" s="1090">
        <f>IF(ISERROR(J46/J45),"－",ROUND(J46/J45*100,1))</f>
        <v>101.8</v>
      </c>
      <c r="N46" s="1878">
        <f t="shared" si="14"/>
        <v>88009.130141452755</v>
      </c>
      <c r="O46" s="1888"/>
      <c r="P46" s="1963"/>
      <c r="Q46" s="1090">
        <f>IF(ISERROR(N46/N45),"－",ROUND(N46/N45*100,1))</f>
        <v>102.8</v>
      </c>
      <c r="R46" s="1088">
        <f>IF(ISERROR(N46/J46),"－",N46/J46*100)</f>
        <v>94.564762358072002</v>
      </c>
      <c r="T46" s="662"/>
      <c r="U46" s="669">
        <f>ROUND(M47-100,1)</f>
        <v>2</v>
      </c>
      <c r="V46" s="662"/>
      <c r="W46" s="670">
        <f>ROUND(R47-R46,2)</f>
        <v>0.7</v>
      </c>
      <c r="Y46" s="1544">
        <f t="shared" ref="Y46:AB46" si="16">Y22</f>
        <v>83361968377</v>
      </c>
      <c r="Z46" s="1544">
        <f t="shared" si="16"/>
        <v>14695700</v>
      </c>
      <c r="AA46" s="1544">
        <f t="shared" si="16"/>
        <v>696123</v>
      </c>
      <c r="AB46" s="1544">
        <f t="shared" si="16"/>
        <v>0</v>
      </c>
      <c r="AC46" s="1544">
        <v>603941</v>
      </c>
      <c r="AD46" s="1544">
        <v>895564</v>
      </c>
      <c r="AE46" s="1544">
        <v>78817112503</v>
      </c>
      <c r="AF46" s="1544">
        <v>696123</v>
      </c>
    </row>
    <row r="47" spans="1:32" ht="15.9" customHeight="1" thickBot="1">
      <c r="A47" s="904"/>
      <c r="B47" s="1926" t="s">
        <v>473</v>
      </c>
      <c r="C47" s="1927"/>
      <c r="D47" s="1928"/>
      <c r="E47" s="1094">
        <f>E39</f>
        <v>3</v>
      </c>
      <c r="F47" s="1864">
        <f t="shared" si="12"/>
        <v>139499.78347130911</v>
      </c>
      <c r="G47" s="1865"/>
      <c r="H47" s="1866"/>
      <c r="I47" s="1095">
        <f>IF(ISERROR(F47/F46),"－",ROUND(F47/F46*100,1))</f>
        <v>101.1</v>
      </c>
      <c r="J47" s="1864">
        <f t="shared" si="13"/>
        <v>94920.300055250002</v>
      </c>
      <c r="K47" s="1865"/>
      <c r="L47" s="1866"/>
      <c r="M47" s="1095">
        <f>IF(ISERROR(J47/J46),"－",ROUND(J47/J46*100,1))</f>
        <v>102</v>
      </c>
      <c r="N47" s="1864">
        <f t="shared" si="14"/>
        <v>90423.805408588538</v>
      </c>
      <c r="O47" s="1865"/>
      <c r="P47" s="1866"/>
      <c r="Q47" s="1095">
        <f>IF(ISERROR(N47/N46),"－",ROUND(N47/N46*100,1))</f>
        <v>102.7</v>
      </c>
      <c r="R47" s="1096">
        <f>IF(ISERROR(N47/J47),"－",N47/J47*100)</f>
        <v>95.262873543336667</v>
      </c>
      <c r="T47" s="662" t="str">
        <f>FIXED(ABS(J47),0)&amp;"円"</f>
        <v>94,920円</v>
      </c>
      <c r="U47" s="671" t="str">
        <f>IF(U46=0,IF(J47=J46,"同率",IF(J47&gt;J46,"微増","微減")),IF(U46&lt;0,FIXED(ABS(U46),1)&amp;"％減",FIXED(ABS(U46),1)&amp;"％増"))</f>
        <v>2.0％増</v>
      </c>
      <c r="V47" s="662" t="str">
        <f>FIXED(R47,2)&amp;"％"</f>
        <v>95.26％</v>
      </c>
      <c r="W47" s="671" t="str">
        <f>IF(W46=0,IF(R47=R46,"同率",IF(R47&gt;R46,"微増","微減")),IF(W46&lt;0,FIXED(ABS(W46),2)&amp;"ﾎﾟｲﾝﾄ減",FIXED(ABS(W46),2)&amp;"ﾎﾟｲﾝﾄ増"))</f>
        <v>0.70ﾎﾟｲﾝﾄ増</v>
      </c>
      <c r="Y47" s="1544">
        <f t="shared" ref="Y47:AB47" si="17">Y23</f>
        <v>83509621838</v>
      </c>
      <c r="Z47" s="1544">
        <f t="shared" si="17"/>
        <v>14261100</v>
      </c>
      <c r="AA47" s="1544">
        <f t="shared" si="17"/>
        <v>142162</v>
      </c>
      <c r="AB47" s="1544">
        <f t="shared" si="17"/>
        <v>0</v>
      </c>
      <c r="AC47" s="1544">
        <v>598535</v>
      </c>
      <c r="AD47" s="1544">
        <v>879638</v>
      </c>
      <c r="AE47" s="1544">
        <v>79540073180</v>
      </c>
      <c r="AF47" s="1544">
        <v>142162</v>
      </c>
    </row>
    <row r="48" spans="1:32" ht="12.6" hidden="1" thickBot="1">
      <c r="A48" s="571"/>
      <c r="B48" s="829"/>
      <c r="C48" s="829"/>
      <c r="D48" s="830"/>
      <c r="E48" s="831">
        <f>E36</f>
        <v>30</v>
      </c>
      <c r="F48" s="1871">
        <f>IF(AC48=0,0,(Y48-Z48+AA48-AB48)/AC48)</f>
        <v>445870.03634602978</v>
      </c>
      <c r="G48" s="1872"/>
      <c r="H48" s="1873"/>
      <c r="I48" s="907"/>
      <c r="J48" s="1871">
        <f>IF(AD48=0,0,(Y48-Z48+AA48-AB48)/AD48)</f>
        <v>218699.24447734954</v>
      </c>
      <c r="K48" s="1872"/>
      <c r="L48" s="1873"/>
      <c r="M48" s="907"/>
      <c r="N48" s="1871">
        <f>IF(AD48=0,0,(AE48+AF48)/AD48)</f>
        <v>218649.58909759187</v>
      </c>
      <c r="O48" s="1872"/>
      <c r="P48" s="1873"/>
      <c r="Q48" s="907"/>
      <c r="R48" s="668"/>
      <c r="T48" s="58"/>
      <c r="U48" s="58"/>
      <c r="V48" s="58"/>
      <c r="W48" s="58"/>
      <c r="Y48" s="1544">
        <f t="shared" ref="Y48:AB48" si="18">Y24</f>
        <v>274420968880</v>
      </c>
      <c r="Z48" s="1544">
        <f t="shared" si="18"/>
        <v>0</v>
      </c>
      <c r="AA48" s="1544">
        <f t="shared" si="18"/>
        <v>0</v>
      </c>
      <c r="AB48" s="1544">
        <f t="shared" si="18"/>
        <v>0</v>
      </c>
      <c r="AC48" s="1544">
        <v>615473</v>
      </c>
      <c r="AD48" s="1544">
        <v>1254787</v>
      </c>
      <c r="AE48" s="1544">
        <v>274358661955</v>
      </c>
      <c r="AF48" s="1544">
        <v>0</v>
      </c>
    </row>
    <row r="49" spans="1:32" ht="15.9" customHeight="1" thickTop="1">
      <c r="A49" s="1810" t="s">
        <v>465</v>
      </c>
      <c r="B49" s="1929"/>
      <c r="C49" s="1929"/>
      <c r="D49" s="1930"/>
      <c r="E49" s="1121" t="str">
        <f>E37</f>
        <v>元</v>
      </c>
      <c r="F49" s="1958">
        <f t="shared" ref="F49:F51" si="19">IF(AC49=0,0,(Y49-Z49+AA49-AB49)/AC49)</f>
        <v>450059.51204794977</v>
      </c>
      <c r="G49" s="1959"/>
      <c r="H49" s="1960"/>
      <c r="I49" s="1122" t="str">
        <f>IF(ISERROR(F49/#REF!),"－",ROUND(F49/#REF!*100,1))</f>
        <v>－</v>
      </c>
      <c r="J49" s="1958">
        <f t="shared" ref="J49:J51" si="20">IF(AD49=0,0,(Y49-Z49+AA49-AB49)/AD49)</f>
        <v>223240.77555051201</v>
      </c>
      <c r="K49" s="1961"/>
      <c r="L49" s="1962"/>
      <c r="M49" s="1122" t="str">
        <f>IF(ISERROR(J49/#REF!),"－",ROUND(J49/#REF!*100,1))</f>
        <v>－</v>
      </c>
      <c r="N49" s="1958">
        <f t="shared" ref="N49:N51" si="21">IF(AD49=0,0,(AE49+AF49)/AD49)</f>
        <v>223191.74065674108</v>
      </c>
      <c r="O49" s="1959"/>
      <c r="P49" s="1960"/>
      <c r="Q49" s="1122" t="str">
        <f>IF(ISERROR(N49/#REF!),"－",ROUND(N49/#REF!*100,1))</f>
        <v>－</v>
      </c>
      <c r="R49" s="1123">
        <f>IF(ISERROR(N49/J49),"－",N49/J49*100)</f>
        <v>99.97803497427833</v>
      </c>
      <c r="T49" s="58"/>
      <c r="U49" s="58"/>
      <c r="V49" s="58"/>
      <c r="W49" s="58"/>
      <c r="Y49" s="1544">
        <f t="shared" ref="Y49:AB49" si="22">Y25</f>
        <v>278953636460</v>
      </c>
      <c r="Z49" s="1544">
        <f t="shared" si="22"/>
        <v>0</v>
      </c>
      <c r="AA49" s="1544">
        <f t="shared" si="22"/>
        <v>0</v>
      </c>
      <c r="AB49" s="1544">
        <f t="shared" si="22"/>
        <v>0</v>
      </c>
      <c r="AC49" s="1544">
        <v>619815</v>
      </c>
      <c r="AD49" s="1544">
        <v>1249564</v>
      </c>
      <c r="AE49" s="1544">
        <v>278892364222</v>
      </c>
      <c r="AF49" s="1544">
        <v>0</v>
      </c>
    </row>
    <row r="50" spans="1:32" ht="15.9" customHeight="1">
      <c r="A50" s="1802"/>
      <c r="B50" s="1867"/>
      <c r="C50" s="1867"/>
      <c r="D50" s="1803"/>
      <c r="E50" s="1089">
        <f>E38</f>
        <v>2</v>
      </c>
      <c r="F50" s="1878">
        <f t="shared" si="19"/>
        <v>455158.49385988276</v>
      </c>
      <c r="G50" s="1888"/>
      <c r="H50" s="1963"/>
      <c r="I50" s="1090">
        <f>IF(ISERROR(F50/F49),"－",ROUND(F50/F49*100,1))</f>
        <v>101.1</v>
      </c>
      <c r="J50" s="1878">
        <f t="shared" si="20"/>
        <v>227941.48664082115</v>
      </c>
      <c r="K50" s="1879"/>
      <c r="L50" s="1880"/>
      <c r="M50" s="1090">
        <f>IF(ISERROR(J50/J49),"－",ROUND(J50/J49*100,1))</f>
        <v>102.1</v>
      </c>
      <c r="N50" s="1878">
        <f t="shared" si="21"/>
        <v>227892.84290862342</v>
      </c>
      <c r="O50" s="1888"/>
      <c r="P50" s="1963"/>
      <c r="Q50" s="1090">
        <f>IF(ISERROR(N50/N49),"－",ROUND(N50/N49*100,1))</f>
        <v>102.1</v>
      </c>
      <c r="R50" s="1088">
        <f>IF(ISERROR(N50/J50),"－",N50/J50*100)</f>
        <v>99.978659552978016</v>
      </c>
      <c r="T50" s="662"/>
      <c r="U50" s="669">
        <f>ROUND(M51-100,1)</f>
        <v>2.5</v>
      </c>
      <c r="V50" s="662"/>
      <c r="W50" s="670">
        <f>ROUND(R51-R50,2)</f>
        <v>0</v>
      </c>
      <c r="Y50" s="1544">
        <f t="shared" ref="Y50:AB50" si="23">Y26</f>
        <v>283690275736</v>
      </c>
      <c r="Z50" s="1544">
        <f t="shared" si="23"/>
        <v>0</v>
      </c>
      <c r="AA50" s="1544">
        <f t="shared" si="23"/>
        <v>0</v>
      </c>
      <c r="AB50" s="1544">
        <f t="shared" si="23"/>
        <v>0</v>
      </c>
      <c r="AC50" s="1544">
        <v>623278</v>
      </c>
      <c r="AD50" s="1544">
        <v>1244575</v>
      </c>
      <c r="AE50" s="1544">
        <v>283629734963</v>
      </c>
      <c r="AF50" s="1544">
        <v>0</v>
      </c>
    </row>
    <row r="51" spans="1:32" ht="15.9" customHeight="1">
      <c r="A51" s="1804" t="s">
        <v>127</v>
      </c>
      <c r="B51" s="1917"/>
      <c r="C51" s="1917"/>
      <c r="D51" s="1805"/>
      <c r="E51" s="851">
        <f>E39</f>
        <v>3</v>
      </c>
      <c r="F51" s="1952">
        <f t="shared" si="19"/>
        <v>462155.60730852355</v>
      </c>
      <c r="G51" s="1885"/>
      <c r="H51" s="1953"/>
      <c r="I51" s="1097">
        <f>IF(ISERROR(F51/F50),"－",ROUND(F51/F50*100,1))</f>
        <v>101.5</v>
      </c>
      <c r="J51" s="1884">
        <f t="shared" si="20"/>
        <v>233621.64433533311</v>
      </c>
      <c r="K51" s="1954"/>
      <c r="L51" s="1955"/>
      <c r="M51" s="1097">
        <f>IF(ISERROR(J51/J50),"－",ROUND(J51/J50*100,1))</f>
        <v>102.5</v>
      </c>
      <c r="N51" s="1952">
        <f t="shared" si="21"/>
        <v>233572.50825745074</v>
      </c>
      <c r="O51" s="1885"/>
      <c r="P51" s="1953"/>
      <c r="Q51" s="1097">
        <f>IF(ISERROR(N51/N50),"－",ROUND(N51/N50*100,1))</f>
        <v>102.5</v>
      </c>
      <c r="R51" s="1098">
        <f>IF(ISERROR(N51/J51),"－",N51/J51*100)</f>
        <v>99.978967668846707</v>
      </c>
      <c r="T51" s="662" t="str">
        <f>FIXED(ABS(J51),0)&amp;"円"</f>
        <v>233,622円</v>
      </c>
      <c r="U51" s="671" t="str">
        <f>IF(U50=0,IF(J51=J50,"同率",IF(J51&gt;J50,"微増","微減")),IF(U50&lt;0,FIXED(ABS(U50),1)&amp;"％減",FIXED(ABS(U50),1)&amp;"％増"))</f>
        <v>2.5％増</v>
      </c>
      <c r="V51" s="662" t="str">
        <f>FIXED(R51,2)&amp;"％"</f>
        <v>99.98％</v>
      </c>
      <c r="W51" s="671" t="str">
        <f>IF(W50=0,IF(R51=R50,"同率",IF(R51&gt;R50,"微増","微減")),IF(W50&lt;0,FIXED(ABS(W50),2)&amp;"ﾎﾟｲﾝﾄ減",FIXED(ABS(W50),2)&amp;"ﾎﾟｲﾝﾄ増"))</f>
        <v>微増</v>
      </c>
      <c r="Y51" s="1544">
        <f t="shared" ref="Y51:AB51" si="24">Y27</f>
        <v>289528471933</v>
      </c>
      <c r="Z51" s="1544">
        <f t="shared" si="24"/>
        <v>0</v>
      </c>
      <c r="AA51" s="1544">
        <f t="shared" si="24"/>
        <v>0</v>
      </c>
      <c r="AB51" s="1544">
        <f t="shared" si="24"/>
        <v>0</v>
      </c>
      <c r="AC51" s="1544">
        <v>626474</v>
      </c>
      <c r="AD51" s="1544">
        <v>1239305</v>
      </c>
      <c r="AE51" s="1544">
        <v>289467577346</v>
      </c>
      <c r="AF51" s="1544">
        <v>0</v>
      </c>
    </row>
    <row r="52" spans="1:32" ht="15.9" hidden="1" customHeight="1">
      <c r="A52" s="20" t="s">
        <v>128</v>
      </c>
      <c r="C52" s="20"/>
      <c r="Y52" s="1296">
        <f t="shared" ref="Y52:AB52" si="25">Y28</f>
        <v>0</v>
      </c>
      <c r="Z52" s="1296">
        <f t="shared" si="25"/>
        <v>0</v>
      </c>
      <c r="AA52" s="1296">
        <f t="shared" si="25"/>
        <v>0</v>
      </c>
      <c r="AB52" s="1296">
        <f t="shared" si="25"/>
        <v>0</v>
      </c>
    </row>
    <row r="53" spans="1:32" ht="15.9" customHeight="1"/>
    <row r="54" spans="1:32" ht="15.9" customHeight="1"/>
    <row r="55" spans="1:32" ht="15.9" customHeight="1"/>
    <row r="57" spans="1:32" ht="15.9" customHeight="1"/>
    <row r="58" spans="1:32" ht="15.9" customHeight="1"/>
    <row r="59" spans="1:32" ht="15.9" customHeight="1"/>
    <row r="61" spans="1:32" ht="15.9" customHeight="1"/>
    <row r="62" spans="1:32" ht="15.9" customHeight="1"/>
    <row r="63" spans="1:32" ht="15.9" customHeight="1"/>
    <row r="64" spans="1:32" ht="15.9" hidden="1" customHeight="1"/>
    <row r="65" ht="15.9" customHeight="1"/>
    <row r="66" ht="15.9" customHeight="1"/>
    <row r="67" ht="15.9" customHeight="1"/>
    <row r="68" ht="15.9" hidden="1" customHeight="1"/>
    <row r="69" ht="15.9" customHeight="1"/>
    <row r="70" ht="15.9" customHeight="1"/>
    <row r="71" ht="15.9" customHeight="1"/>
    <row r="72" ht="15.9" hidden="1" customHeight="1"/>
    <row r="73" ht="15.9" customHeight="1"/>
    <row r="74" ht="15.9" customHeight="1"/>
    <row r="75" ht="15.9" customHeight="1"/>
    <row r="76" ht="18" customHeight="1"/>
  </sheetData>
  <mergeCells count="116">
    <mergeCell ref="B22:D22"/>
    <mergeCell ref="A15:D15"/>
    <mergeCell ref="B17:D17"/>
    <mergeCell ref="B18:D18"/>
    <mergeCell ref="B19:D19"/>
    <mergeCell ref="B21:D21"/>
    <mergeCell ref="J45:L45"/>
    <mergeCell ref="N45:P45"/>
    <mergeCell ref="F51:H51"/>
    <mergeCell ref="J51:L51"/>
    <mergeCell ref="N51:P51"/>
    <mergeCell ref="F35:H35"/>
    <mergeCell ref="J35:L35"/>
    <mergeCell ref="N35:P35"/>
    <mergeCell ref="F49:H49"/>
    <mergeCell ref="J49:L49"/>
    <mergeCell ref="N49:P49"/>
    <mergeCell ref="F50:H50"/>
    <mergeCell ref="J50:L50"/>
    <mergeCell ref="N50:P50"/>
    <mergeCell ref="F46:H46"/>
    <mergeCell ref="J46:L46"/>
    <mergeCell ref="N46:P46"/>
    <mergeCell ref="F47:H47"/>
    <mergeCell ref="G4:I4"/>
    <mergeCell ref="N31:R31"/>
    <mergeCell ref="F37:H37"/>
    <mergeCell ref="J37:L37"/>
    <mergeCell ref="N37:P37"/>
    <mergeCell ref="O4:Q4"/>
    <mergeCell ref="F27:H27"/>
    <mergeCell ref="F25:H25"/>
    <mergeCell ref="F26:H26"/>
    <mergeCell ref="F16:H16"/>
    <mergeCell ref="F21:H21"/>
    <mergeCell ref="F22:H22"/>
    <mergeCell ref="F19:H19"/>
    <mergeCell ref="F20:H20"/>
    <mergeCell ref="F14:H14"/>
    <mergeCell ref="F17:H17"/>
    <mergeCell ref="F18:H18"/>
    <mergeCell ref="F15:H15"/>
    <mergeCell ref="A51:D51"/>
    <mergeCell ref="A37:D37"/>
    <mergeCell ref="A38:D38"/>
    <mergeCell ref="A39:D39"/>
    <mergeCell ref="B41:D41"/>
    <mergeCell ref="B42:D42"/>
    <mergeCell ref="B43:D43"/>
    <mergeCell ref="B45:D45"/>
    <mergeCell ref="B46:D46"/>
    <mergeCell ref="A25:D25"/>
    <mergeCell ref="A26:D26"/>
    <mergeCell ref="A27:D27"/>
    <mergeCell ref="F23:H23"/>
    <mergeCell ref="F24:H24"/>
    <mergeCell ref="B23:D23"/>
    <mergeCell ref="B47:D47"/>
    <mergeCell ref="A49:D49"/>
    <mergeCell ref="A50:D50"/>
    <mergeCell ref="F38:H38"/>
    <mergeCell ref="F39:H39"/>
    <mergeCell ref="F43:H43"/>
    <mergeCell ref="F41:H41"/>
    <mergeCell ref="F42:H42"/>
    <mergeCell ref="F45:H45"/>
    <mergeCell ref="A5:D5"/>
    <mergeCell ref="F5:I6"/>
    <mergeCell ref="A7:D7"/>
    <mergeCell ref="F13:H13"/>
    <mergeCell ref="A11:D11"/>
    <mergeCell ref="F11:H11"/>
    <mergeCell ref="F12:H12"/>
    <mergeCell ref="A9:D9"/>
    <mergeCell ref="F9:H9"/>
    <mergeCell ref="A10:D10"/>
    <mergeCell ref="F10:H10"/>
    <mergeCell ref="A6:D6"/>
    <mergeCell ref="A13:D13"/>
    <mergeCell ref="A14:D14"/>
    <mergeCell ref="F44:H44"/>
    <mergeCell ref="J44:L44"/>
    <mergeCell ref="N44:P44"/>
    <mergeCell ref="F48:H48"/>
    <mergeCell ref="J48:L48"/>
    <mergeCell ref="N48:P48"/>
    <mergeCell ref="F36:H36"/>
    <mergeCell ref="J36:L36"/>
    <mergeCell ref="N36:P36"/>
    <mergeCell ref="F40:H40"/>
    <mergeCell ref="J40:L40"/>
    <mergeCell ref="N40:P40"/>
    <mergeCell ref="J38:L38"/>
    <mergeCell ref="N38:P38"/>
    <mergeCell ref="J39:L39"/>
    <mergeCell ref="N39:P39"/>
    <mergeCell ref="J43:L43"/>
    <mergeCell ref="N43:P43"/>
    <mergeCell ref="J41:L41"/>
    <mergeCell ref="N41:P41"/>
    <mergeCell ref="J42:L42"/>
    <mergeCell ref="N42:P42"/>
    <mergeCell ref="J47:L47"/>
    <mergeCell ref="Y12:Y14"/>
    <mergeCell ref="Z12:Z14"/>
    <mergeCell ref="AA12:AA14"/>
    <mergeCell ref="AB12:AB14"/>
    <mergeCell ref="N47:P47"/>
    <mergeCell ref="AD32:AD34"/>
    <mergeCell ref="AE32:AE34"/>
    <mergeCell ref="AF32:AF34"/>
    <mergeCell ref="Y32:Y34"/>
    <mergeCell ref="Z32:Z34"/>
    <mergeCell ref="AA32:AA34"/>
    <mergeCell ref="AB32:AB34"/>
    <mergeCell ref="AC32:AC34"/>
  </mergeCells>
  <phoneticPr fontId="27"/>
  <printOptions gridLinesSet="0"/>
  <pageMargins left="0.86614173228346458" right="0.6692913385826772" top="0.78740157480314965" bottom="0.59055118110236227" header="0" footer="0.39370078740157483"/>
  <pageSetup paperSize="9" scale="97" firstPageNumber="23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CB40"/>
  <sheetViews>
    <sheetView view="pageBreakPreview" zoomScaleNormal="100" zoomScaleSheetLayoutView="100" workbookViewId="0"/>
  </sheetViews>
  <sheetFormatPr defaultColWidth="9" defaultRowHeight="12"/>
  <cols>
    <col min="1" max="1" width="2.77734375" style="21" customWidth="1" collapsed="1"/>
    <col min="2" max="2" width="14" style="21" customWidth="1" collapsed="1"/>
    <col min="3" max="13" width="6.21875" style="21" customWidth="1" collapsed="1"/>
    <col min="14" max="14" width="9" style="21" collapsed="1"/>
    <col min="15" max="80" width="15.77734375" style="21" hidden="1" customWidth="1" collapsed="1"/>
    <col min="81" max="16384" width="9" style="21" collapsed="1"/>
  </cols>
  <sheetData>
    <row r="1" spans="1:3" s="22" customFormat="1" ht="16.5" customHeight="1">
      <c r="A1" s="625" t="s">
        <v>478</v>
      </c>
      <c r="B1" s="625"/>
      <c r="C1" s="605"/>
    </row>
    <row r="2" spans="1:3" ht="4.5" customHeight="1"/>
    <row r="3" spans="1:3" ht="15.75" customHeight="1"/>
    <row r="4" spans="1:3" ht="20.25" customHeight="1"/>
    <row r="5" spans="1:3" ht="20.25" customHeight="1"/>
    <row r="6" spans="1:3" ht="20.25" customHeight="1"/>
    <row r="7" spans="1:3" ht="20.25" customHeight="1"/>
    <row r="8" spans="1:3" ht="20.25" customHeight="1"/>
    <row r="9" spans="1:3" ht="20.25" customHeight="1"/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spans="1:80" ht="20.25" customHeight="1"/>
    <row r="18" spans="1:80" ht="20.25" customHeight="1"/>
    <row r="19" spans="1:80" ht="20.25" customHeight="1"/>
    <row r="20" spans="1:80" ht="20.25" customHeight="1"/>
    <row r="21" spans="1:80" ht="20.25" customHeight="1"/>
    <row r="22" spans="1:80" ht="20.25" customHeight="1"/>
    <row r="23" spans="1:80" ht="20.25" customHeight="1"/>
    <row r="24" spans="1:80" ht="20.25" customHeight="1"/>
    <row r="25" spans="1:80" ht="20.25" customHeight="1"/>
    <row r="26" spans="1:80" ht="20.25" customHeight="1"/>
    <row r="27" spans="1:80" ht="20.25" customHeight="1"/>
    <row r="28" spans="1:80" ht="13.5" customHeight="1">
      <c r="A28" s="491"/>
      <c r="B28" s="491"/>
      <c r="C28" s="79"/>
      <c r="D28" s="79"/>
      <c r="E28" s="79"/>
      <c r="F28" s="79"/>
      <c r="G28" s="79"/>
      <c r="H28" s="79"/>
      <c r="I28" s="79"/>
      <c r="J28" s="79"/>
      <c r="K28" s="1964" t="s">
        <v>474</v>
      </c>
      <c r="L28" s="1934"/>
      <c r="M28" s="1934"/>
      <c r="O28" s="1969">
        <f>C29</f>
        <v>23</v>
      </c>
      <c r="P28" s="1970"/>
      <c r="Q28" s="1970"/>
      <c r="R28" s="1970"/>
      <c r="S28" s="1970"/>
      <c r="T28" s="1970"/>
      <c r="U28" s="1969">
        <f>D29</f>
        <v>24</v>
      </c>
      <c r="V28" s="1970"/>
      <c r="W28" s="1970"/>
      <c r="X28" s="1970"/>
      <c r="Y28" s="1970"/>
      <c r="Z28" s="1970"/>
      <c r="AA28" s="1969">
        <f>E29</f>
        <v>25</v>
      </c>
      <c r="AB28" s="1970"/>
      <c r="AC28" s="1970"/>
      <c r="AD28" s="1970"/>
      <c r="AE28" s="1970"/>
      <c r="AF28" s="1970"/>
      <c r="AG28" s="1971">
        <f>F29</f>
        <v>26</v>
      </c>
      <c r="AH28" s="1972"/>
      <c r="AI28" s="1972"/>
      <c r="AJ28" s="1972"/>
      <c r="AK28" s="1972"/>
      <c r="AL28" s="1973"/>
      <c r="AM28" s="1971">
        <f>G29</f>
        <v>27</v>
      </c>
      <c r="AN28" s="1972"/>
      <c r="AO28" s="1972"/>
      <c r="AP28" s="1972"/>
      <c r="AQ28" s="1972"/>
      <c r="AR28" s="1973"/>
      <c r="AS28" s="1971">
        <f>H29</f>
        <v>28</v>
      </c>
      <c r="AT28" s="1972"/>
      <c r="AU28" s="1972"/>
      <c r="AV28" s="1972"/>
      <c r="AW28" s="1972"/>
      <c r="AX28" s="1973"/>
      <c r="AY28" s="1971">
        <f>I29</f>
        <v>29</v>
      </c>
      <c r="AZ28" s="1972"/>
      <c r="BA28" s="1972"/>
      <c r="BB28" s="1972"/>
      <c r="BC28" s="1972"/>
      <c r="BD28" s="1973"/>
      <c r="BE28" s="1971">
        <f>J29</f>
        <v>30</v>
      </c>
      <c r="BF28" s="1972"/>
      <c r="BG28" s="1972"/>
      <c r="BH28" s="1972"/>
      <c r="BI28" s="1972"/>
      <c r="BJ28" s="1973"/>
      <c r="BK28" s="1971" t="str">
        <f>K29</f>
        <v>元</v>
      </c>
      <c r="BL28" s="1972"/>
      <c r="BM28" s="1972"/>
      <c r="BN28" s="1972"/>
      <c r="BO28" s="1972"/>
      <c r="BP28" s="1973"/>
      <c r="BQ28" s="1971">
        <f>L29</f>
        <v>2</v>
      </c>
      <c r="BR28" s="1972"/>
      <c r="BS28" s="1972"/>
      <c r="BT28" s="1972"/>
      <c r="BU28" s="1972"/>
      <c r="BV28" s="1973"/>
      <c r="BW28" s="1971">
        <f>M29</f>
        <v>3</v>
      </c>
      <c r="BX28" s="1972"/>
      <c r="BY28" s="1972"/>
      <c r="BZ28" s="1972"/>
      <c r="CA28" s="1972"/>
      <c r="CB28" s="1973"/>
    </row>
    <row r="29" spans="1:80" ht="33" customHeight="1">
      <c r="A29" s="1127" t="s">
        <v>475</v>
      </c>
      <c r="B29" s="1113"/>
      <c r="C29" s="851">
        <f>情報!$B$12</f>
        <v>23</v>
      </c>
      <c r="D29" s="851">
        <f>情報!$B$11</f>
        <v>24</v>
      </c>
      <c r="E29" s="851">
        <f>情報!$B$10</f>
        <v>25</v>
      </c>
      <c r="F29" s="851">
        <f>情報!$B$9</f>
        <v>26</v>
      </c>
      <c r="G29" s="851">
        <f>情報!$B$8</f>
        <v>27</v>
      </c>
      <c r="H29" s="851">
        <f>情報!$B$7</f>
        <v>28</v>
      </c>
      <c r="I29" s="851">
        <f>情報!$B$6</f>
        <v>29</v>
      </c>
      <c r="J29" s="851">
        <f>情報!$B$5</f>
        <v>30</v>
      </c>
      <c r="K29" s="851" t="str">
        <f>情報!$B$4</f>
        <v>元</v>
      </c>
      <c r="L29" s="851">
        <f>情報!$B$3</f>
        <v>2</v>
      </c>
      <c r="M29" s="851">
        <f>情報!$B$2</f>
        <v>3</v>
      </c>
      <c r="O29" s="1633" t="s">
        <v>754</v>
      </c>
      <c r="P29" s="1633" t="s">
        <v>755</v>
      </c>
      <c r="Q29" s="1633" t="s">
        <v>749</v>
      </c>
      <c r="R29" s="1633" t="s">
        <v>750</v>
      </c>
      <c r="S29" s="1633" t="s">
        <v>751</v>
      </c>
      <c r="T29" s="1633" t="s">
        <v>752</v>
      </c>
      <c r="U29" s="1633" t="s">
        <v>754</v>
      </c>
      <c r="V29" s="1633" t="s">
        <v>755</v>
      </c>
      <c r="W29" s="1633" t="s">
        <v>749</v>
      </c>
      <c r="X29" s="1633" t="s">
        <v>750</v>
      </c>
      <c r="Y29" s="1633" t="s">
        <v>751</v>
      </c>
      <c r="Z29" s="1633" t="s">
        <v>752</v>
      </c>
      <c r="AA29" s="1633" t="s">
        <v>754</v>
      </c>
      <c r="AB29" s="1633" t="s">
        <v>755</v>
      </c>
      <c r="AC29" s="1633" t="s">
        <v>749</v>
      </c>
      <c r="AD29" s="1633" t="s">
        <v>750</v>
      </c>
      <c r="AE29" s="1633" t="s">
        <v>751</v>
      </c>
      <c r="AF29" s="1633" t="s">
        <v>752</v>
      </c>
      <c r="AG29" s="1633" t="s">
        <v>754</v>
      </c>
      <c r="AH29" s="1633" t="s">
        <v>755</v>
      </c>
      <c r="AI29" s="1633" t="s">
        <v>749</v>
      </c>
      <c r="AJ29" s="1633" t="s">
        <v>750</v>
      </c>
      <c r="AK29" s="1633" t="s">
        <v>751</v>
      </c>
      <c r="AL29" s="1633" t="s">
        <v>752</v>
      </c>
      <c r="AM29" s="1633" t="s">
        <v>754</v>
      </c>
      <c r="AN29" s="1633" t="s">
        <v>755</v>
      </c>
      <c r="AO29" s="1633" t="s">
        <v>749</v>
      </c>
      <c r="AP29" s="1633" t="s">
        <v>750</v>
      </c>
      <c r="AQ29" s="1633" t="s">
        <v>751</v>
      </c>
      <c r="AR29" s="1633" t="s">
        <v>752</v>
      </c>
      <c r="AS29" s="1633" t="s">
        <v>754</v>
      </c>
      <c r="AT29" s="1633" t="s">
        <v>755</v>
      </c>
      <c r="AU29" s="1633" t="s">
        <v>749</v>
      </c>
      <c r="AV29" s="1633" t="s">
        <v>750</v>
      </c>
      <c r="AW29" s="1633" t="s">
        <v>751</v>
      </c>
      <c r="AX29" s="1633" t="s">
        <v>752</v>
      </c>
      <c r="AY29" s="1633" t="s">
        <v>754</v>
      </c>
      <c r="AZ29" s="1633" t="s">
        <v>755</v>
      </c>
      <c r="BA29" s="1633" t="s">
        <v>749</v>
      </c>
      <c r="BB29" s="1633" t="s">
        <v>750</v>
      </c>
      <c r="BC29" s="1633" t="s">
        <v>751</v>
      </c>
      <c r="BD29" s="1633" t="s">
        <v>752</v>
      </c>
      <c r="BE29" s="1633" t="s">
        <v>754</v>
      </c>
      <c r="BF29" s="1633" t="s">
        <v>755</v>
      </c>
      <c r="BG29" s="1633" t="s">
        <v>749</v>
      </c>
      <c r="BH29" s="1633" t="s">
        <v>750</v>
      </c>
      <c r="BI29" s="1633" t="s">
        <v>751</v>
      </c>
      <c r="BJ29" s="1633" t="s">
        <v>752</v>
      </c>
      <c r="BK29" s="1633" t="s">
        <v>754</v>
      </c>
      <c r="BL29" s="1633" t="s">
        <v>755</v>
      </c>
      <c r="BM29" s="1633" t="s">
        <v>749</v>
      </c>
      <c r="BN29" s="1633" t="s">
        <v>750</v>
      </c>
      <c r="BO29" s="1633" t="s">
        <v>751</v>
      </c>
      <c r="BP29" s="1633" t="s">
        <v>752</v>
      </c>
      <c r="BQ29" s="1633" t="s">
        <v>754</v>
      </c>
      <c r="BR29" s="1633" t="s">
        <v>755</v>
      </c>
      <c r="BS29" s="1633" t="s">
        <v>749</v>
      </c>
      <c r="BT29" s="1633" t="s">
        <v>750</v>
      </c>
      <c r="BU29" s="1633" t="s">
        <v>751</v>
      </c>
      <c r="BV29" s="1633" t="s">
        <v>752</v>
      </c>
      <c r="BW29" s="1633" t="s">
        <v>754</v>
      </c>
      <c r="BX29" s="1633" t="s">
        <v>755</v>
      </c>
      <c r="BY29" s="1633" t="s">
        <v>749</v>
      </c>
      <c r="BZ29" s="1633" t="s">
        <v>750</v>
      </c>
      <c r="CA29" s="1633" t="s">
        <v>751</v>
      </c>
      <c r="CB29" s="1633" t="s">
        <v>752</v>
      </c>
    </row>
    <row r="30" spans="1:80" ht="33" customHeight="1">
      <c r="A30" s="1965" t="s">
        <v>585</v>
      </c>
      <c r="B30" s="1966"/>
      <c r="C30" s="1099">
        <f>IF(Q30-R30+S30-T30=0,0,(O30+P30)/(Q30-R30+S30-T30))*100</f>
        <v>0</v>
      </c>
      <c r="D30" s="1099">
        <f>IF(W30-X30+Y30-Z30=0,0,(U30+V30)/(W30-X30+Y30-Z30))*100</f>
        <v>85.628287760070435</v>
      </c>
      <c r="E30" s="1099">
        <f>IF(AC30-AD30+AE30-AF30=0,0,(AA30+AB30)/(AC30-AD30+AE30-AF30))*100</f>
        <v>86.199816591075944</v>
      </c>
      <c r="F30" s="1099">
        <f>IF(AI30-AJ30+AK30-AL30=0,0,(AG30+AH30)/(AI30-AJ30+AK30-AL30))*100</f>
        <v>86.741847093434757</v>
      </c>
      <c r="G30" s="1099">
        <f>IF(AO30-AP30+AQ30-AR30=0,0,(AM30+AN30)/(AO30-AP30+AQ30-AR30))*100</f>
        <v>87.438706474444089</v>
      </c>
      <c r="H30" s="1099">
        <f>IF(AU30-AV30+AW30-AX30=0,0,(AS30+AT30)/(AU30-AV30+AW30-AX30))*100</f>
        <v>87.626043284803259</v>
      </c>
      <c r="I30" s="1099">
        <f>IF(BA30-BB30+BC30-BD30=0,0,(AY30+AZ30)/(BA30-BB30+BC30-BD30))*100</f>
        <v>88.021650032973042</v>
      </c>
      <c r="J30" s="1099">
        <f>IF(BG30-BH30+BI30-BJ30=0,0,(BE30+BF30)/(BG30-BH30+BI30-BJ30))*100</f>
        <v>88.548663678474412</v>
      </c>
      <c r="K30" s="1099">
        <f>IF(BM30-BN30+BO30-BP30=0,0,(BK30+BL30)/(BM30-BN30+BO30-BP30))*100</f>
        <v>88.917254233083398</v>
      </c>
      <c r="L30" s="1099">
        <f>IF(BS30-BT30+BU30-BV30=0,0,(BQ30+BR30)/(BS30-BT30+BU30-BV30))*100</f>
        <v>90.256306902952829</v>
      </c>
      <c r="M30" s="1099">
        <f>IF(BY30-BZ30+CA30-CB30=0,0,(BW30+BX30)/(BY30-BZ30+CA30-CB30))*100</f>
        <v>91.428506805372749</v>
      </c>
      <c r="O30" s="1607"/>
      <c r="P30" s="1607"/>
      <c r="Q30" s="1607"/>
      <c r="R30" s="1607"/>
      <c r="S30" s="1607"/>
      <c r="T30" s="1607"/>
      <c r="U30" s="1607">
        <v>284991863174</v>
      </c>
      <c r="V30" s="1607">
        <v>17522018263</v>
      </c>
      <c r="W30" s="1607">
        <v>334833565970</v>
      </c>
      <c r="X30" s="1607">
        <v>292051927</v>
      </c>
      <c r="Y30" s="1607">
        <v>18746484091</v>
      </c>
      <c r="Z30" s="1607">
        <v>679947</v>
      </c>
      <c r="AA30" s="1607">
        <v>295607229866</v>
      </c>
      <c r="AB30" s="1607">
        <v>16122045313</v>
      </c>
      <c r="AC30" s="1607">
        <v>344761751170</v>
      </c>
      <c r="AD30" s="1607">
        <v>267778815</v>
      </c>
      <c r="AE30" s="1607">
        <v>17142486698</v>
      </c>
      <c r="AF30" s="1607">
        <v>799597</v>
      </c>
      <c r="AG30" s="1607">
        <v>301367288343</v>
      </c>
      <c r="AH30" s="1607">
        <v>13612754023</v>
      </c>
      <c r="AI30" s="1607">
        <v>348972211226</v>
      </c>
      <c r="AJ30" s="1607">
        <v>261692373</v>
      </c>
      <c r="AK30" s="1607">
        <v>14413688631</v>
      </c>
      <c r="AL30" s="1607">
        <v>694531</v>
      </c>
      <c r="AM30" s="1607">
        <v>298383293015</v>
      </c>
      <c r="AN30" s="1607">
        <v>9828020772</v>
      </c>
      <c r="AO30" s="1607">
        <v>342389116946</v>
      </c>
      <c r="AP30" s="1607">
        <v>211059783</v>
      </c>
      <c r="AQ30" s="1607">
        <v>10310495215</v>
      </c>
      <c r="AR30" s="1607">
        <v>133674</v>
      </c>
      <c r="AS30" s="1607">
        <v>303423107811</v>
      </c>
      <c r="AT30" s="1607">
        <v>6383464393</v>
      </c>
      <c r="AU30" s="1607">
        <v>347149836538</v>
      </c>
      <c r="AV30" s="1607">
        <v>267340359</v>
      </c>
      <c r="AW30" s="1607">
        <v>6673254146</v>
      </c>
      <c r="AX30" s="1607">
        <v>390993</v>
      </c>
      <c r="AY30" s="1607">
        <v>301904654244</v>
      </c>
      <c r="AZ30" s="1607">
        <v>3349832776</v>
      </c>
      <c r="BA30" s="1607">
        <v>343619964040</v>
      </c>
      <c r="BB30" s="1607">
        <v>311694117</v>
      </c>
      <c r="BC30" s="1607">
        <v>3486834984</v>
      </c>
      <c r="BD30" s="1607">
        <v>325548</v>
      </c>
      <c r="BE30" s="1607">
        <v>303321550739</v>
      </c>
      <c r="BF30" s="1607">
        <v>1259750890</v>
      </c>
      <c r="BG30" s="1607">
        <v>342953587007</v>
      </c>
      <c r="BH30" s="1607">
        <v>287391002</v>
      </c>
      <c r="BI30" s="1607">
        <v>1304427612</v>
      </c>
      <c r="BJ30" s="1607">
        <v>100544</v>
      </c>
      <c r="BK30" s="1607">
        <v>298842336844</v>
      </c>
      <c r="BL30" s="1607">
        <v>192761412</v>
      </c>
      <c r="BM30" s="1607">
        <v>336350811787</v>
      </c>
      <c r="BN30" s="1607">
        <v>246160786</v>
      </c>
      <c r="BO30" s="1607">
        <v>202515516</v>
      </c>
      <c r="BP30" s="1607">
        <v>0</v>
      </c>
      <c r="BQ30" s="1607">
        <v>291816866915</v>
      </c>
      <c r="BR30" s="1607">
        <v>1276821</v>
      </c>
      <c r="BS30" s="1607">
        <v>323513842598</v>
      </c>
      <c r="BT30" s="1607">
        <v>193553161</v>
      </c>
      <c r="BU30" s="1607">
        <v>1319600</v>
      </c>
      <c r="BV30" s="1607">
        <v>0</v>
      </c>
      <c r="BW30" s="1607">
        <v>295168462136</v>
      </c>
      <c r="BX30" s="1607">
        <v>311002</v>
      </c>
      <c r="BY30" s="1607">
        <v>323029430965</v>
      </c>
      <c r="BZ30" s="1607">
        <v>188668158</v>
      </c>
      <c r="CA30" s="1607">
        <v>311002</v>
      </c>
      <c r="CB30" s="1607">
        <v>0</v>
      </c>
    </row>
    <row r="31" spans="1:80" ht="30" customHeight="1">
      <c r="A31" s="1118"/>
      <c r="B31" s="996" t="s">
        <v>437</v>
      </c>
      <c r="C31" s="1099">
        <f>IF(Q31-R31+S31-T31=0,0,(O31+P31)/(Q31-R31+S31-T31))*100</f>
        <v>0</v>
      </c>
      <c r="D31" s="1099">
        <f>IF(W31-X31+Y31-Z31=0,0,(U31+V31)/(W31-X31+Y31-Z31))*100</f>
        <v>83.903551067443047</v>
      </c>
      <c r="E31" s="1099">
        <f>IF(AC31-AD31+AE31-AF31=0,0,(AA31+AB31)/(AC31-AD31+AE31-AF31))*100</f>
        <v>84.492847094097812</v>
      </c>
      <c r="F31" s="1099">
        <f>IF(AI31-AJ31+AK31-AL31=0,0,(AG31+AH31)/(AI31-AJ31+AK31-AL31))*100</f>
        <v>84.995344274981406</v>
      </c>
      <c r="G31" s="1099">
        <f>IF(AO31-AP31+AQ31-AR31=0,0,(AM31+AN31)/(AO31-AP31+AQ31-AR31))*100</f>
        <v>85.734282151543923</v>
      </c>
      <c r="H31" s="1099">
        <f>IF(AU31-AV31+AW31-AX31=0,0,(AS31+AT31)/(AU31-AV31+AW31-AX31))*100</f>
        <v>85.891084907952717</v>
      </c>
      <c r="I31" s="1099">
        <f>IF(BA31-BB31+BC31-BD31=0,0,(AY31+AZ31)/(BA31-BB31+BC31-BD31))*100</f>
        <v>86.299565436868249</v>
      </c>
      <c r="J31" s="1099">
        <f>IF(BG31-BH31+BI31-BJ31=0,0,(BE31+BF31)/(BG31-BH31+BI31-BJ31))*100</f>
        <v>86.828980997716002</v>
      </c>
      <c r="K31" s="1099">
        <f>IF(BM31-BN31+BO31-BP31=0,0,(BK31+BL31)/(BM31-BN31+BO31-BP31))*100</f>
        <v>87.332425533754616</v>
      </c>
      <c r="L31" s="1099">
        <f>IF(BS31-BT31+BU31-BV31=0,0,(BQ31+BR31)/(BS31-BT31+BU31-BV31))*100</f>
        <v>88.759888335918504</v>
      </c>
      <c r="M31" s="1099">
        <f>IF(BY31-BZ31+CA31-CB31=0,0,(BW31+BX31)/(BY31-BZ31+CA31-CB31))*100</f>
        <v>90.090891165052184</v>
      </c>
      <c r="O31" s="1607"/>
      <c r="P31" s="1607"/>
      <c r="Q31" s="1607"/>
      <c r="R31" s="1607"/>
      <c r="S31" s="1607"/>
      <c r="T31" s="1607"/>
      <c r="U31" s="1607">
        <v>208169510532</v>
      </c>
      <c r="V31" s="1607">
        <v>10980266793</v>
      </c>
      <c r="W31" s="1607">
        <v>249491723454</v>
      </c>
      <c r="X31" s="1607">
        <v>287324127</v>
      </c>
      <c r="Y31" s="1607">
        <v>11988734307</v>
      </c>
      <c r="Z31" s="1607">
        <v>639947</v>
      </c>
      <c r="AA31" s="1607">
        <v>217363472356</v>
      </c>
      <c r="AB31" s="1607">
        <v>10192927140</v>
      </c>
      <c r="AC31" s="1607">
        <v>258541929744</v>
      </c>
      <c r="AD31" s="1607">
        <v>258797115</v>
      </c>
      <c r="AE31" s="1607">
        <v>11037979068</v>
      </c>
      <c r="AF31" s="1607">
        <v>799597</v>
      </c>
      <c r="AG31" s="1607">
        <v>221517200763</v>
      </c>
      <c r="AH31" s="1607">
        <v>8561917845</v>
      </c>
      <c r="AI31" s="1607">
        <v>261717982202</v>
      </c>
      <c r="AJ31" s="1607">
        <v>249142553</v>
      </c>
      <c r="AK31" s="1607">
        <v>9227997795</v>
      </c>
      <c r="AL31" s="1607">
        <v>694531</v>
      </c>
      <c r="AM31" s="1607">
        <v>219700171538</v>
      </c>
      <c r="AN31" s="1607">
        <v>6378258284</v>
      </c>
      <c r="AO31" s="1607">
        <v>257122010388</v>
      </c>
      <c r="AP31" s="1607">
        <v>201175819</v>
      </c>
      <c r="AQ31" s="1607">
        <v>6775948973</v>
      </c>
      <c r="AR31" s="1607">
        <v>133674</v>
      </c>
      <c r="AS31" s="1607">
        <v>222292056902</v>
      </c>
      <c r="AT31" s="1607">
        <v>4215315901</v>
      </c>
      <c r="AU31" s="1607">
        <v>259522427925</v>
      </c>
      <c r="AV31" s="1607">
        <v>257909222</v>
      </c>
      <c r="AW31" s="1607">
        <v>4450520959</v>
      </c>
      <c r="AX31" s="1607">
        <v>390993</v>
      </c>
      <c r="AY31" s="1607">
        <v>223263915639</v>
      </c>
      <c r="AZ31" s="1607">
        <v>2288829928</v>
      </c>
      <c r="BA31" s="1607">
        <v>259258755855</v>
      </c>
      <c r="BB31" s="1607">
        <v>299521402</v>
      </c>
      <c r="BC31" s="1607">
        <v>2401324400</v>
      </c>
      <c r="BD31" s="1607">
        <v>325548</v>
      </c>
      <c r="BE31" s="1607">
        <v>224330494112</v>
      </c>
      <c r="BF31" s="1607">
        <v>893697376</v>
      </c>
      <c r="BG31" s="1607">
        <v>258720692303</v>
      </c>
      <c r="BH31" s="1607">
        <v>260979083</v>
      </c>
      <c r="BI31" s="1607">
        <v>928657116</v>
      </c>
      <c r="BJ31" s="1607">
        <v>100544</v>
      </c>
      <c r="BK31" s="1607">
        <v>220580702907</v>
      </c>
      <c r="BL31" s="1607">
        <v>144593585</v>
      </c>
      <c r="BM31" s="1607">
        <v>252815880907</v>
      </c>
      <c r="BN31" s="1607">
        <v>227961430</v>
      </c>
      <c r="BO31" s="1607">
        <v>153596796</v>
      </c>
      <c r="BP31" s="1607">
        <v>0</v>
      </c>
      <c r="BQ31" s="1607">
        <v>212999754412</v>
      </c>
      <c r="BR31" s="1607">
        <v>580698</v>
      </c>
      <c r="BS31" s="1607">
        <v>240151874221</v>
      </c>
      <c r="BT31" s="1607">
        <v>178857461</v>
      </c>
      <c r="BU31" s="1607">
        <v>623477</v>
      </c>
      <c r="BV31" s="1607">
        <v>0</v>
      </c>
      <c r="BW31" s="1607">
        <v>215628388956</v>
      </c>
      <c r="BX31" s="1607">
        <v>168840</v>
      </c>
      <c r="BY31" s="1607">
        <v>239519809127</v>
      </c>
      <c r="BZ31" s="1607">
        <v>174407058</v>
      </c>
      <c r="CA31" s="1607">
        <v>168840</v>
      </c>
      <c r="CB31" s="1607">
        <v>0</v>
      </c>
    </row>
    <row r="32" spans="1:80" ht="30" customHeight="1" thickBot="1">
      <c r="A32" s="1125"/>
      <c r="B32" s="997" t="s">
        <v>436</v>
      </c>
      <c r="C32" s="1126">
        <f>IF(Q32-R32+S32-T32=0,0,(O32+P32)/(Q32-R32+S32-T32))*100</f>
        <v>0</v>
      </c>
      <c r="D32" s="1126">
        <f>IF(W32-X32+Y32-Z32=0,0,(U32+V32)/(W32-X32+Y32-Z32))*100</f>
        <v>90.519857727727143</v>
      </c>
      <c r="E32" s="1126">
        <f>IF(AC32-AD32+AE32-AF32=0,0,(AA32+AB32)/(AC32-AD32+AE32-AF32))*100</f>
        <v>91.17972048396264</v>
      </c>
      <c r="F32" s="1126">
        <f>IF(AI32-AJ32+AK32-AL32=0,0,(AG32+AH32)/(AI32-AJ32+AK32-AL32))*100</f>
        <v>91.856907452042861</v>
      </c>
      <c r="G32" s="1126">
        <f>IF(AO32-AP32+AQ32-AR32=0,0,(AM32+AN32)/(AO32-AP32+AQ32-AR32))*100</f>
        <v>92.500560628205207</v>
      </c>
      <c r="H32" s="1126">
        <f>IF(AU32-AV32+AW32-AX32=0,0,(AS32+AT32)/(AU32-AV32+AW32-AX32))*100</f>
        <v>92.718767234001803</v>
      </c>
      <c r="I32" s="1126">
        <f>IF(BA32-BB32+BC32-BD32=0,0,(AY32+AZ32)/(BA32-BB32+BC32-BD32))*100</f>
        <v>93.289828452560045</v>
      </c>
      <c r="J32" s="1126">
        <f>IF(BG32-BH32+BI32-BJ32=0,0,(BE32+BF32)/(BG32-BH32+BI32-BJ32))*100</f>
        <v>93.82241198677815</v>
      </c>
      <c r="K32" s="1126">
        <f>IF(BM32-BN32+BO32-BP32=0,0,(BK32+BL32)/(BM32-BN32+BO32-BP32))*100</f>
        <v>93.710515666839598</v>
      </c>
      <c r="L32" s="1126">
        <f>IF(BS32-BT32+BU32-BV32=0,0,(BQ32+BR32)/(BS32-BT32+BU32-BV32))*100</f>
        <v>94.564762358072002</v>
      </c>
      <c r="M32" s="1126">
        <f>IF(BY32-BZ32+CA32-CB32=0,0,(BW32+BX32)/(BY32-BZ32+CA32-CB32))*100</f>
        <v>95.262873543336667</v>
      </c>
      <c r="O32" s="1607"/>
      <c r="P32" s="1607"/>
      <c r="Q32" s="1607"/>
      <c r="R32" s="1607"/>
      <c r="S32" s="1607"/>
      <c r="T32" s="1607"/>
      <c r="U32" s="1607">
        <v>76822352642</v>
      </c>
      <c r="V32" s="1607">
        <v>6541751470</v>
      </c>
      <c r="W32" s="1607">
        <v>85341842516</v>
      </c>
      <c r="X32" s="1607">
        <v>4727800</v>
      </c>
      <c r="Y32" s="1607">
        <v>6757749784</v>
      </c>
      <c r="Z32" s="1607">
        <v>40000</v>
      </c>
      <c r="AA32" s="1607">
        <v>78243757510</v>
      </c>
      <c r="AB32" s="1607">
        <v>5929118173</v>
      </c>
      <c r="AC32" s="1607">
        <v>86219821426</v>
      </c>
      <c r="AD32" s="1607">
        <v>8981700</v>
      </c>
      <c r="AE32" s="1607">
        <v>6104507630</v>
      </c>
      <c r="AF32" s="1607">
        <v>0</v>
      </c>
      <c r="AG32" s="1607">
        <v>79850087580</v>
      </c>
      <c r="AH32" s="1607">
        <v>5050836178</v>
      </c>
      <c r="AI32" s="1607">
        <v>87254229024</v>
      </c>
      <c r="AJ32" s="1607">
        <v>12549820</v>
      </c>
      <c r="AK32" s="1607">
        <v>5185690836</v>
      </c>
      <c r="AL32" s="1607">
        <v>0</v>
      </c>
      <c r="AM32" s="1607">
        <v>78683121477</v>
      </c>
      <c r="AN32" s="1607">
        <v>3449762488</v>
      </c>
      <c r="AO32" s="1607">
        <v>85267106558</v>
      </c>
      <c r="AP32" s="1607">
        <v>9883964</v>
      </c>
      <c r="AQ32" s="1607">
        <v>3534546242</v>
      </c>
      <c r="AR32" s="1607">
        <v>0</v>
      </c>
      <c r="AS32" s="1607">
        <v>81131050909</v>
      </c>
      <c r="AT32" s="1607">
        <v>2168148492</v>
      </c>
      <c r="AU32" s="1607">
        <v>87627408613</v>
      </c>
      <c r="AV32" s="1607">
        <v>9431137</v>
      </c>
      <c r="AW32" s="1607">
        <v>2222733187</v>
      </c>
      <c r="AX32" s="1607">
        <v>0</v>
      </c>
      <c r="AY32" s="1607">
        <v>78640738605</v>
      </c>
      <c r="AZ32" s="1607">
        <v>1061002848</v>
      </c>
      <c r="BA32" s="1607">
        <v>84361208185</v>
      </c>
      <c r="BB32" s="1607">
        <v>12172715</v>
      </c>
      <c r="BC32" s="1607">
        <v>1085510584</v>
      </c>
      <c r="BD32" s="1607">
        <v>0</v>
      </c>
      <c r="BE32" s="1607">
        <v>78991056627</v>
      </c>
      <c r="BF32" s="1607">
        <v>366053514</v>
      </c>
      <c r="BG32" s="1607">
        <v>84232894704</v>
      </c>
      <c r="BH32" s="1607">
        <v>26411919</v>
      </c>
      <c r="BI32" s="1607">
        <v>375770496</v>
      </c>
      <c r="BJ32" s="1607">
        <v>0</v>
      </c>
      <c r="BK32" s="1607">
        <v>78261633937</v>
      </c>
      <c r="BL32" s="1607">
        <v>48167827</v>
      </c>
      <c r="BM32" s="1607">
        <v>83534930880</v>
      </c>
      <c r="BN32" s="1607">
        <v>18199356</v>
      </c>
      <c r="BO32" s="1607">
        <v>48918720</v>
      </c>
      <c r="BP32" s="1607">
        <v>0</v>
      </c>
      <c r="BQ32" s="1607">
        <v>78817112503</v>
      </c>
      <c r="BR32" s="1607">
        <v>696123</v>
      </c>
      <c r="BS32" s="1607">
        <v>83361968377</v>
      </c>
      <c r="BT32" s="1607">
        <v>14695700</v>
      </c>
      <c r="BU32" s="1607">
        <v>696123</v>
      </c>
      <c r="BV32" s="1607">
        <v>0</v>
      </c>
      <c r="BW32" s="1607">
        <v>79540073180</v>
      </c>
      <c r="BX32" s="1607">
        <v>142162</v>
      </c>
      <c r="BY32" s="1607">
        <v>83509621838</v>
      </c>
      <c r="BZ32" s="1607">
        <v>14261100</v>
      </c>
      <c r="CA32" s="1607">
        <v>142162</v>
      </c>
      <c r="CB32" s="1607">
        <v>0</v>
      </c>
    </row>
    <row r="33" spans="1:80" ht="30" customHeight="1" thickTop="1">
      <c r="A33" s="1967" t="s">
        <v>588</v>
      </c>
      <c r="B33" s="1968"/>
      <c r="C33" s="1124">
        <f>IF(Q33-R33+S33-T33=0,0,(O33+P33)/(Q33-R33+S33-T33))*100</f>
        <v>0</v>
      </c>
      <c r="D33" s="1124">
        <f>IF(W33-X33+Y33-Z33=0,0,(U33+V33)/(W33-X33+Y33-Z33))*100</f>
        <v>99.944184029761047</v>
      </c>
      <c r="E33" s="1124">
        <f>IF(AC33-AD33+AE33-AF33=0,0,(AA33+AB33)/(AC33-AD33+AE33-AF33))*100</f>
        <v>99.96801890895955</v>
      </c>
      <c r="F33" s="1124">
        <f>IF(AI33-AJ33+AK33-AL33=0,0,(AG33+AH33)/(AI33-AJ33+AK33-AL33))*100</f>
        <v>99.969312246465535</v>
      </c>
      <c r="G33" s="1124">
        <f>IF(AO33-AP33+AQ33-AR33=0,0,(AM33+AN33)/(AO33-AP33+AQ33-AR33))*100</f>
        <v>99.976643082727477</v>
      </c>
      <c r="H33" s="1124">
        <f>IF(AU33-AV33+AW33-AX33=0,0,(AS33+AT33)/(AU33-AV33+AW33-AX33))*100</f>
        <v>99.978055895095068</v>
      </c>
      <c r="I33" s="1124">
        <f>IF(BA33-BB33+BC33-BD33=0,0,(AY33+AZ33)/(BA33-BB33+BC33-BD33))*100</f>
        <v>99.976561182064444</v>
      </c>
      <c r="J33" s="1124">
        <f>IF(BG33-BH33+BI33-BJ33=0,0,(BE33+BF33)/(BG33-BH33+BI33-BJ33))*100</f>
        <v>99.977295129721938</v>
      </c>
      <c r="K33" s="1124">
        <f>IF(BM33-BN33+BO33-BP33=0,0,(BK33+BL33)/(BM33-BN33+BO33-BP33))*100</f>
        <v>99.978034974278316</v>
      </c>
      <c r="L33" s="1124">
        <f>IF(BS33-BT33+BU33-BV33=0,0,(BQ33+BR33)/(BS33-BT33+BU33-BV33))*100</f>
        <v>99.978659552978002</v>
      </c>
      <c r="M33" s="1124">
        <f>IF(BY33-BZ33+CA33-CB33=0,0,(BW33+BX33)/(BY33-BZ33+CA33-CB33))*100</f>
        <v>99.978967668846707</v>
      </c>
      <c r="O33" s="1607"/>
      <c r="P33" s="1607"/>
      <c r="Q33" s="1607"/>
      <c r="R33" s="1607"/>
      <c r="S33" s="1607"/>
      <c r="T33" s="1607"/>
      <c r="U33" s="1607">
        <v>237236129872</v>
      </c>
      <c r="V33" s="1607">
        <v>0</v>
      </c>
      <c r="W33" s="1607">
        <v>237368619470</v>
      </c>
      <c r="X33" s="1607">
        <v>0</v>
      </c>
      <c r="Y33" s="1607">
        <v>0</v>
      </c>
      <c r="Z33" s="1607">
        <v>0</v>
      </c>
      <c r="AA33" s="1607">
        <v>241075775122</v>
      </c>
      <c r="AB33" s="1607">
        <v>0</v>
      </c>
      <c r="AC33" s="1607">
        <v>241152898450</v>
      </c>
      <c r="AD33" s="1607">
        <v>0</v>
      </c>
      <c r="AE33" s="1607">
        <v>0</v>
      </c>
      <c r="AF33" s="1607">
        <v>0</v>
      </c>
      <c r="AG33" s="1607">
        <v>246749477574</v>
      </c>
      <c r="AH33" s="1607">
        <v>0</v>
      </c>
      <c r="AI33" s="1607">
        <v>246825222690</v>
      </c>
      <c r="AJ33" s="1607">
        <v>0</v>
      </c>
      <c r="AK33" s="1607">
        <v>0</v>
      </c>
      <c r="AL33" s="1607">
        <v>0</v>
      </c>
      <c r="AM33" s="1607">
        <v>251793075450</v>
      </c>
      <c r="AN33" s="1607">
        <v>0</v>
      </c>
      <c r="AO33" s="1607">
        <v>251851900290</v>
      </c>
      <c r="AP33" s="1607">
        <v>0</v>
      </c>
      <c r="AQ33" s="1607">
        <v>0</v>
      </c>
      <c r="AR33" s="1607">
        <v>0</v>
      </c>
      <c r="AS33" s="1607">
        <v>258568177304</v>
      </c>
      <c r="AT33" s="1607">
        <v>0</v>
      </c>
      <c r="AU33" s="1607">
        <v>258624930230</v>
      </c>
      <c r="AV33" s="1607">
        <v>0</v>
      </c>
      <c r="AW33" s="1607">
        <v>0</v>
      </c>
      <c r="AX33" s="1607">
        <v>0</v>
      </c>
      <c r="AY33" s="1607">
        <v>267836306338</v>
      </c>
      <c r="AZ33" s="1607">
        <v>0</v>
      </c>
      <c r="BA33" s="1607">
        <v>267899098720</v>
      </c>
      <c r="BB33" s="1607">
        <v>0</v>
      </c>
      <c r="BC33" s="1607">
        <v>0</v>
      </c>
      <c r="BD33" s="1607">
        <v>0</v>
      </c>
      <c r="BE33" s="1607">
        <v>274358661955</v>
      </c>
      <c r="BF33" s="1607">
        <v>0</v>
      </c>
      <c r="BG33" s="1607">
        <v>274420968880</v>
      </c>
      <c r="BH33" s="1607">
        <v>0</v>
      </c>
      <c r="BI33" s="1607">
        <v>0</v>
      </c>
      <c r="BJ33" s="1607">
        <v>0</v>
      </c>
      <c r="BK33" s="1607">
        <v>278892364222</v>
      </c>
      <c r="BL33" s="1607">
        <v>0</v>
      </c>
      <c r="BM33" s="1607">
        <v>278953636460</v>
      </c>
      <c r="BN33" s="1607">
        <v>0</v>
      </c>
      <c r="BO33" s="1607">
        <v>0</v>
      </c>
      <c r="BP33" s="1607">
        <v>0</v>
      </c>
      <c r="BQ33" s="1607">
        <v>283629734963</v>
      </c>
      <c r="BR33" s="1607">
        <v>0</v>
      </c>
      <c r="BS33" s="1607">
        <v>283690275736</v>
      </c>
      <c r="BT33" s="1607">
        <v>0</v>
      </c>
      <c r="BU33" s="1607">
        <v>0</v>
      </c>
      <c r="BV33" s="1607">
        <v>0</v>
      </c>
      <c r="BW33" s="1607">
        <v>289467577346</v>
      </c>
      <c r="BX33" s="1607">
        <v>0</v>
      </c>
      <c r="BY33" s="1607">
        <v>289528471933</v>
      </c>
      <c r="BZ33" s="1607">
        <v>0</v>
      </c>
      <c r="CA33" s="1607">
        <v>0</v>
      </c>
      <c r="CB33" s="1607">
        <v>0</v>
      </c>
    </row>
    <row r="34" spans="1:80" ht="6" customHeight="1">
      <c r="K34"/>
      <c r="L34"/>
      <c r="M34"/>
    </row>
    <row r="35" spans="1:80" ht="20.25" customHeight="1">
      <c r="A35" s="45"/>
      <c r="B35" s="45"/>
      <c r="C35"/>
      <c r="D35"/>
      <c r="G35" s="672"/>
    </row>
    <row r="36" spans="1:80" ht="20.25" customHeight="1">
      <c r="A36" s="45"/>
      <c r="B36" s="45"/>
      <c r="C36"/>
      <c r="D36"/>
    </row>
    <row r="37" spans="1:80" ht="20.25" customHeight="1">
      <c r="A37" s="45"/>
      <c r="B37" s="45"/>
      <c r="C37"/>
      <c r="D37"/>
    </row>
    <row r="38" spans="1:80" ht="20.25" customHeight="1">
      <c r="A38" s="45"/>
      <c r="B38" s="45"/>
      <c r="C38"/>
      <c r="D38"/>
    </row>
    <row r="39" spans="1:80" ht="20.25" customHeight="1">
      <c r="A39" s="45"/>
      <c r="B39" s="45"/>
      <c r="C39"/>
      <c r="D39"/>
    </row>
    <row r="40" spans="1:80" ht="20.25" customHeight="1">
      <c r="A40" s="45"/>
      <c r="B40" s="45"/>
      <c r="C40"/>
      <c r="D40"/>
    </row>
  </sheetData>
  <mergeCells count="14">
    <mergeCell ref="BK28:BP28"/>
    <mergeCell ref="BQ28:BV28"/>
    <mergeCell ref="BW28:CB28"/>
    <mergeCell ref="O28:T28"/>
    <mergeCell ref="AG28:AL28"/>
    <mergeCell ref="AM28:AR28"/>
    <mergeCell ref="AS28:AX28"/>
    <mergeCell ref="AY28:BD28"/>
    <mergeCell ref="BE28:BJ28"/>
    <mergeCell ref="K28:M28"/>
    <mergeCell ref="A30:B30"/>
    <mergeCell ref="A33:B33"/>
    <mergeCell ref="U28:Z28"/>
    <mergeCell ref="AA28:AF28"/>
  </mergeCells>
  <phoneticPr fontId="27"/>
  <printOptions gridLinesSet="0"/>
  <pageMargins left="0.47244094488188981" right="0.98425196850393704" top="0.78740157480314965" bottom="0.59055118110236227" header="0" footer="0.39370078740157483"/>
  <pageSetup paperSize="9" firstPageNumber="26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Y76"/>
  <sheetViews>
    <sheetView showGridLines="0" view="pageBreakPreview" zoomScaleNormal="100" zoomScaleSheetLayoutView="100" workbookViewId="0"/>
  </sheetViews>
  <sheetFormatPr defaultColWidth="9" defaultRowHeight="13.2"/>
  <cols>
    <col min="1" max="2" width="2.77734375" style="3" customWidth="1" collapsed="1"/>
    <col min="3" max="3" width="7.33203125" style="3" customWidth="1" collapsed="1"/>
    <col min="4" max="4" width="6.77734375" style="3" customWidth="1" collapsed="1"/>
    <col min="5" max="5" width="6.21875" style="3" customWidth="1" collapsed="1"/>
    <col min="6" max="6" width="12.33203125" style="3" customWidth="1" collapsed="1"/>
    <col min="7" max="7" width="6.21875" style="3" customWidth="1" collapsed="1"/>
    <col min="8" max="8" width="6.77734375" style="3" customWidth="1" collapsed="1"/>
    <col min="9" max="9" width="6.21875" style="3" customWidth="1" collapsed="1"/>
    <col min="10" max="10" width="11.44140625" style="3" customWidth="1" collapsed="1"/>
    <col min="11" max="11" width="6.21875" style="3" customWidth="1" collapsed="1"/>
    <col min="12" max="12" width="6.77734375" style="3" customWidth="1" collapsed="1"/>
    <col min="13" max="13" width="6.21875" style="3" customWidth="1" collapsed="1"/>
    <col min="14" max="14" width="12" style="3" customWidth="1" collapsed="1"/>
    <col min="15" max="15" width="6.21875" style="3" customWidth="1" collapsed="1"/>
    <col min="16" max="16" width="7.109375" style="3" customWidth="1" collapsed="1"/>
    <col min="17" max="17" width="6.21875" style="3" customWidth="1" collapsed="1"/>
    <col min="18" max="18" width="13" style="3" customWidth="1" collapsed="1"/>
    <col min="19" max="19" width="6.21875" style="3" customWidth="1" collapsed="1"/>
    <col min="20" max="20" width="8.33203125" style="3" customWidth="1" collapsed="1"/>
    <col min="21" max="21" width="6.21875" style="3" customWidth="1" collapsed="1"/>
    <col min="22" max="22" width="15.44140625" style="3" customWidth="1" collapsed="1"/>
    <col min="23" max="23" width="6.21875" style="3" customWidth="1" collapsed="1"/>
    <col min="24" max="24" width="1.6640625" style="3" customWidth="1" collapsed="1"/>
    <col min="25" max="25" width="9" style="3" collapsed="1"/>
    <col min="26" max="51" width="13.6640625" style="3" hidden="1" customWidth="1" collapsed="1"/>
    <col min="52" max="256" width="9" style="3" collapsed="1"/>
    <col min="257" max="258" width="2.77734375" style="3" customWidth="1" collapsed="1"/>
    <col min="259" max="259" width="7.33203125" style="3" customWidth="1" collapsed="1"/>
    <col min="260" max="260" width="6.77734375" style="3" customWidth="1" collapsed="1"/>
    <col min="261" max="261" width="6.21875" style="3" customWidth="1" collapsed="1"/>
    <col min="262" max="262" width="10.77734375" style="3" customWidth="1" collapsed="1"/>
    <col min="263" max="263" width="6.21875" style="3" customWidth="1" collapsed="1"/>
    <col min="264" max="264" width="6.77734375" style="3" customWidth="1" collapsed="1"/>
    <col min="265" max="265" width="6.21875" style="3" customWidth="1" collapsed="1"/>
    <col min="266" max="266" width="10.21875" style="3" customWidth="1" collapsed="1"/>
    <col min="267" max="267" width="6.21875" style="3" customWidth="1" collapsed="1"/>
    <col min="268" max="268" width="6.77734375" style="3" customWidth="1" collapsed="1"/>
    <col min="269" max="269" width="6.21875" style="3" customWidth="1" collapsed="1"/>
    <col min="270" max="270" width="12" style="3" customWidth="1" collapsed="1"/>
    <col min="271" max="271" width="6.21875" style="3" customWidth="1" collapsed="1"/>
    <col min="272" max="272" width="7.109375" style="3" customWidth="1" collapsed="1"/>
    <col min="273" max="273" width="6.21875" style="3" customWidth="1" collapsed="1"/>
    <col min="274" max="274" width="13" style="3" customWidth="1" collapsed="1"/>
    <col min="275" max="275" width="6.21875" style="3" customWidth="1" collapsed="1"/>
    <col min="276" max="276" width="8.33203125" style="3" customWidth="1" collapsed="1"/>
    <col min="277" max="277" width="6.21875" style="3" customWidth="1" collapsed="1"/>
    <col min="278" max="278" width="15.44140625" style="3" customWidth="1" collapsed="1"/>
    <col min="279" max="279" width="6.21875" style="3" customWidth="1" collapsed="1"/>
    <col min="280" max="280" width="1.6640625" style="3" customWidth="1" collapsed="1"/>
    <col min="281" max="512" width="9" style="3" collapsed="1"/>
    <col min="513" max="514" width="2.77734375" style="3" customWidth="1" collapsed="1"/>
    <col min="515" max="515" width="7.33203125" style="3" customWidth="1" collapsed="1"/>
    <col min="516" max="516" width="6.77734375" style="3" customWidth="1" collapsed="1"/>
    <col min="517" max="517" width="6.21875" style="3" customWidth="1" collapsed="1"/>
    <col min="518" max="518" width="10.77734375" style="3" customWidth="1" collapsed="1"/>
    <col min="519" max="519" width="6.21875" style="3" customWidth="1" collapsed="1"/>
    <col min="520" max="520" width="6.77734375" style="3" customWidth="1" collapsed="1"/>
    <col min="521" max="521" width="6.21875" style="3" customWidth="1" collapsed="1"/>
    <col min="522" max="522" width="10.21875" style="3" customWidth="1" collapsed="1"/>
    <col min="523" max="523" width="6.21875" style="3" customWidth="1" collapsed="1"/>
    <col min="524" max="524" width="6.77734375" style="3" customWidth="1" collapsed="1"/>
    <col min="525" max="525" width="6.21875" style="3" customWidth="1" collapsed="1"/>
    <col min="526" max="526" width="12" style="3" customWidth="1" collapsed="1"/>
    <col min="527" max="527" width="6.21875" style="3" customWidth="1" collapsed="1"/>
    <col min="528" max="528" width="7.109375" style="3" customWidth="1" collapsed="1"/>
    <col min="529" max="529" width="6.21875" style="3" customWidth="1" collapsed="1"/>
    <col min="530" max="530" width="13" style="3" customWidth="1" collapsed="1"/>
    <col min="531" max="531" width="6.21875" style="3" customWidth="1" collapsed="1"/>
    <col min="532" max="532" width="8.33203125" style="3" customWidth="1" collapsed="1"/>
    <col min="533" max="533" width="6.21875" style="3" customWidth="1" collapsed="1"/>
    <col min="534" max="534" width="15.44140625" style="3" customWidth="1" collapsed="1"/>
    <col min="535" max="535" width="6.21875" style="3" customWidth="1" collapsed="1"/>
    <col min="536" max="536" width="1.6640625" style="3" customWidth="1" collapsed="1"/>
    <col min="537" max="768" width="9" style="3" collapsed="1"/>
    <col min="769" max="770" width="2.77734375" style="3" customWidth="1" collapsed="1"/>
    <col min="771" max="771" width="7.33203125" style="3" customWidth="1" collapsed="1"/>
    <col min="772" max="772" width="6.77734375" style="3" customWidth="1" collapsed="1"/>
    <col min="773" max="773" width="6.21875" style="3" customWidth="1" collapsed="1"/>
    <col min="774" max="774" width="10.77734375" style="3" customWidth="1" collapsed="1"/>
    <col min="775" max="775" width="6.21875" style="3" customWidth="1" collapsed="1"/>
    <col min="776" max="776" width="6.77734375" style="3" customWidth="1" collapsed="1"/>
    <col min="777" max="777" width="6.21875" style="3" customWidth="1" collapsed="1"/>
    <col min="778" max="778" width="10.21875" style="3" customWidth="1" collapsed="1"/>
    <col min="779" max="779" width="6.21875" style="3" customWidth="1" collapsed="1"/>
    <col min="780" max="780" width="6.77734375" style="3" customWidth="1" collapsed="1"/>
    <col min="781" max="781" width="6.21875" style="3" customWidth="1" collapsed="1"/>
    <col min="782" max="782" width="12" style="3" customWidth="1" collapsed="1"/>
    <col min="783" max="783" width="6.21875" style="3" customWidth="1" collapsed="1"/>
    <col min="784" max="784" width="7.109375" style="3" customWidth="1" collapsed="1"/>
    <col min="785" max="785" width="6.21875" style="3" customWidth="1" collapsed="1"/>
    <col min="786" max="786" width="13" style="3" customWidth="1" collapsed="1"/>
    <col min="787" max="787" width="6.21875" style="3" customWidth="1" collapsed="1"/>
    <col min="788" max="788" width="8.33203125" style="3" customWidth="1" collapsed="1"/>
    <col min="789" max="789" width="6.21875" style="3" customWidth="1" collapsed="1"/>
    <col min="790" max="790" width="15.44140625" style="3" customWidth="1" collapsed="1"/>
    <col min="791" max="791" width="6.21875" style="3" customWidth="1" collapsed="1"/>
    <col min="792" max="792" width="1.6640625" style="3" customWidth="1" collapsed="1"/>
    <col min="793" max="1024" width="9" style="3" collapsed="1"/>
    <col min="1025" max="1026" width="2.77734375" style="3" customWidth="1" collapsed="1"/>
    <col min="1027" max="1027" width="7.33203125" style="3" customWidth="1" collapsed="1"/>
    <col min="1028" max="1028" width="6.77734375" style="3" customWidth="1" collapsed="1"/>
    <col min="1029" max="1029" width="6.21875" style="3" customWidth="1" collapsed="1"/>
    <col min="1030" max="1030" width="10.77734375" style="3" customWidth="1" collapsed="1"/>
    <col min="1031" max="1031" width="6.21875" style="3" customWidth="1" collapsed="1"/>
    <col min="1032" max="1032" width="6.77734375" style="3" customWidth="1" collapsed="1"/>
    <col min="1033" max="1033" width="6.21875" style="3" customWidth="1" collapsed="1"/>
    <col min="1034" max="1034" width="10.21875" style="3" customWidth="1" collapsed="1"/>
    <col min="1035" max="1035" width="6.21875" style="3" customWidth="1" collapsed="1"/>
    <col min="1036" max="1036" width="6.77734375" style="3" customWidth="1" collapsed="1"/>
    <col min="1037" max="1037" width="6.21875" style="3" customWidth="1" collapsed="1"/>
    <col min="1038" max="1038" width="12" style="3" customWidth="1" collapsed="1"/>
    <col min="1039" max="1039" width="6.21875" style="3" customWidth="1" collapsed="1"/>
    <col min="1040" max="1040" width="7.109375" style="3" customWidth="1" collapsed="1"/>
    <col min="1041" max="1041" width="6.21875" style="3" customWidth="1" collapsed="1"/>
    <col min="1042" max="1042" width="13" style="3" customWidth="1" collapsed="1"/>
    <col min="1043" max="1043" width="6.21875" style="3" customWidth="1" collapsed="1"/>
    <col min="1044" max="1044" width="8.33203125" style="3" customWidth="1" collapsed="1"/>
    <col min="1045" max="1045" width="6.21875" style="3" customWidth="1" collapsed="1"/>
    <col min="1046" max="1046" width="15.44140625" style="3" customWidth="1" collapsed="1"/>
    <col min="1047" max="1047" width="6.21875" style="3" customWidth="1" collapsed="1"/>
    <col min="1048" max="1048" width="1.6640625" style="3" customWidth="1" collapsed="1"/>
    <col min="1049" max="1280" width="9" style="3" collapsed="1"/>
    <col min="1281" max="1282" width="2.77734375" style="3" customWidth="1" collapsed="1"/>
    <col min="1283" max="1283" width="7.33203125" style="3" customWidth="1" collapsed="1"/>
    <col min="1284" max="1284" width="6.77734375" style="3" customWidth="1" collapsed="1"/>
    <col min="1285" max="1285" width="6.21875" style="3" customWidth="1" collapsed="1"/>
    <col min="1286" max="1286" width="10.77734375" style="3" customWidth="1" collapsed="1"/>
    <col min="1287" max="1287" width="6.21875" style="3" customWidth="1" collapsed="1"/>
    <col min="1288" max="1288" width="6.77734375" style="3" customWidth="1" collapsed="1"/>
    <col min="1289" max="1289" width="6.21875" style="3" customWidth="1" collapsed="1"/>
    <col min="1290" max="1290" width="10.21875" style="3" customWidth="1" collapsed="1"/>
    <col min="1291" max="1291" width="6.21875" style="3" customWidth="1" collapsed="1"/>
    <col min="1292" max="1292" width="6.77734375" style="3" customWidth="1" collapsed="1"/>
    <col min="1293" max="1293" width="6.21875" style="3" customWidth="1" collapsed="1"/>
    <col min="1294" max="1294" width="12" style="3" customWidth="1" collapsed="1"/>
    <col min="1295" max="1295" width="6.21875" style="3" customWidth="1" collapsed="1"/>
    <col min="1296" max="1296" width="7.109375" style="3" customWidth="1" collapsed="1"/>
    <col min="1297" max="1297" width="6.21875" style="3" customWidth="1" collapsed="1"/>
    <col min="1298" max="1298" width="13" style="3" customWidth="1" collapsed="1"/>
    <col min="1299" max="1299" width="6.21875" style="3" customWidth="1" collapsed="1"/>
    <col min="1300" max="1300" width="8.33203125" style="3" customWidth="1" collapsed="1"/>
    <col min="1301" max="1301" width="6.21875" style="3" customWidth="1" collapsed="1"/>
    <col min="1302" max="1302" width="15.44140625" style="3" customWidth="1" collapsed="1"/>
    <col min="1303" max="1303" width="6.21875" style="3" customWidth="1" collapsed="1"/>
    <col min="1304" max="1304" width="1.6640625" style="3" customWidth="1" collapsed="1"/>
    <col min="1305" max="1536" width="9" style="3" collapsed="1"/>
    <col min="1537" max="1538" width="2.77734375" style="3" customWidth="1" collapsed="1"/>
    <col min="1539" max="1539" width="7.33203125" style="3" customWidth="1" collapsed="1"/>
    <col min="1540" max="1540" width="6.77734375" style="3" customWidth="1" collapsed="1"/>
    <col min="1541" max="1541" width="6.21875" style="3" customWidth="1" collapsed="1"/>
    <col min="1542" max="1542" width="10.77734375" style="3" customWidth="1" collapsed="1"/>
    <col min="1543" max="1543" width="6.21875" style="3" customWidth="1" collapsed="1"/>
    <col min="1544" max="1544" width="6.77734375" style="3" customWidth="1" collapsed="1"/>
    <col min="1545" max="1545" width="6.21875" style="3" customWidth="1" collapsed="1"/>
    <col min="1546" max="1546" width="10.21875" style="3" customWidth="1" collapsed="1"/>
    <col min="1547" max="1547" width="6.21875" style="3" customWidth="1" collapsed="1"/>
    <col min="1548" max="1548" width="6.77734375" style="3" customWidth="1" collapsed="1"/>
    <col min="1549" max="1549" width="6.21875" style="3" customWidth="1" collapsed="1"/>
    <col min="1550" max="1550" width="12" style="3" customWidth="1" collapsed="1"/>
    <col min="1551" max="1551" width="6.21875" style="3" customWidth="1" collapsed="1"/>
    <col min="1552" max="1552" width="7.109375" style="3" customWidth="1" collapsed="1"/>
    <col min="1553" max="1553" width="6.21875" style="3" customWidth="1" collapsed="1"/>
    <col min="1554" max="1554" width="13" style="3" customWidth="1" collapsed="1"/>
    <col min="1555" max="1555" width="6.21875" style="3" customWidth="1" collapsed="1"/>
    <col min="1556" max="1556" width="8.33203125" style="3" customWidth="1" collapsed="1"/>
    <col min="1557" max="1557" width="6.21875" style="3" customWidth="1" collapsed="1"/>
    <col min="1558" max="1558" width="15.44140625" style="3" customWidth="1" collapsed="1"/>
    <col min="1559" max="1559" width="6.21875" style="3" customWidth="1" collapsed="1"/>
    <col min="1560" max="1560" width="1.6640625" style="3" customWidth="1" collapsed="1"/>
    <col min="1561" max="1792" width="9" style="3" collapsed="1"/>
    <col min="1793" max="1794" width="2.77734375" style="3" customWidth="1" collapsed="1"/>
    <col min="1795" max="1795" width="7.33203125" style="3" customWidth="1" collapsed="1"/>
    <col min="1796" max="1796" width="6.77734375" style="3" customWidth="1" collapsed="1"/>
    <col min="1797" max="1797" width="6.21875" style="3" customWidth="1" collapsed="1"/>
    <col min="1798" max="1798" width="10.77734375" style="3" customWidth="1" collapsed="1"/>
    <col min="1799" max="1799" width="6.21875" style="3" customWidth="1" collapsed="1"/>
    <col min="1800" max="1800" width="6.77734375" style="3" customWidth="1" collapsed="1"/>
    <col min="1801" max="1801" width="6.21875" style="3" customWidth="1" collapsed="1"/>
    <col min="1802" max="1802" width="10.21875" style="3" customWidth="1" collapsed="1"/>
    <col min="1803" max="1803" width="6.21875" style="3" customWidth="1" collapsed="1"/>
    <col min="1804" max="1804" width="6.77734375" style="3" customWidth="1" collapsed="1"/>
    <col min="1805" max="1805" width="6.21875" style="3" customWidth="1" collapsed="1"/>
    <col min="1806" max="1806" width="12" style="3" customWidth="1" collapsed="1"/>
    <col min="1807" max="1807" width="6.21875" style="3" customWidth="1" collapsed="1"/>
    <col min="1808" max="1808" width="7.109375" style="3" customWidth="1" collapsed="1"/>
    <col min="1809" max="1809" width="6.21875" style="3" customWidth="1" collapsed="1"/>
    <col min="1810" max="1810" width="13" style="3" customWidth="1" collapsed="1"/>
    <col min="1811" max="1811" width="6.21875" style="3" customWidth="1" collapsed="1"/>
    <col min="1812" max="1812" width="8.33203125" style="3" customWidth="1" collapsed="1"/>
    <col min="1813" max="1813" width="6.21875" style="3" customWidth="1" collapsed="1"/>
    <col min="1814" max="1814" width="15.44140625" style="3" customWidth="1" collapsed="1"/>
    <col min="1815" max="1815" width="6.21875" style="3" customWidth="1" collapsed="1"/>
    <col min="1816" max="1816" width="1.6640625" style="3" customWidth="1" collapsed="1"/>
    <col min="1817" max="2048" width="9" style="3" collapsed="1"/>
    <col min="2049" max="2050" width="2.77734375" style="3" customWidth="1" collapsed="1"/>
    <col min="2051" max="2051" width="7.33203125" style="3" customWidth="1" collapsed="1"/>
    <col min="2052" max="2052" width="6.77734375" style="3" customWidth="1" collapsed="1"/>
    <col min="2053" max="2053" width="6.21875" style="3" customWidth="1" collapsed="1"/>
    <col min="2054" max="2054" width="10.77734375" style="3" customWidth="1" collapsed="1"/>
    <col min="2055" max="2055" width="6.21875" style="3" customWidth="1" collapsed="1"/>
    <col min="2056" max="2056" width="6.77734375" style="3" customWidth="1" collapsed="1"/>
    <col min="2057" max="2057" width="6.21875" style="3" customWidth="1" collapsed="1"/>
    <col min="2058" max="2058" width="10.21875" style="3" customWidth="1" collapsed="1"/>
    <col min="2059" max="2059" width="6.21875" style="3" customWidth="1" collapsed="1"/>
    <col min="2060" max="2060" width="6.77734375" style="3" customWidth="1" collapsed="1"/>
    <col min="2061" max="2061" width="6.21875" style="3" customWidth="1" collapsed="1"/>
    <col min="2062" max="2062" width="12" style="3" customWidth="1" collapsed="1"/>
    <col min="2063" max="2063" width="6.21875" style="3" customWidth="1" collapsed="1"/>
    <col min="2064" max="2064" width="7.109375" style="3" customWidth="1" collapsed="1"/>
    <col min="2065" max="2065" width="6.21875" style="3" customWidth="1" collapsed="1"/>
    <col min="2066" max="2066" width="13" style="3" customWidth="1" collapsed="1"/>
    <col min="2067" max="2067" width="6.21875" style="3" customWidth="1" collapsed="1"/>
    <col min="2068" max="2068" width="8.33203125" style="3" customWidth="1" collapsed="1"/>
    <col min="2069" max="2069" width="6.21875" style="3" customWidth="1" collapsed="1"/>
    <col min="2070" max="2070" width="15.44140625" style="3" customWidth="1" collapsed="1"/>
    <col min="2071" max="2071" width="6.21875" style="3" customWidth="1" collapsed="1"/>
    <col min="2072" max="2072" width="1.6640625" style="3" customWidth="1" collapsed="1"/>
    <col min="2073" max="2304" width="9" style="3" collapsed="1"/>
    <col min="2305" max="2306" width="2.77734375" style="3" customWidth="1" collapsed="1"/>
    <col min="2307" max="2307" width="7.33203125" style="3" customWidth="1" collapsed="1"/>
    <col min="2308" max="2308" width="6.77734375" style="3" customWidth="1" collapsed="1"/>
    <col min="2309" max="2309" width="6.21875" style="3" customWidth="1" collapsed="1"/>
    <col min="2310" max="2310" width="10.77734375" style="3" customWidth="1" collapsed="1"/>
    <col min="2311" max="2311" width="6.21875" style="3" customWidth="1" collapsed="1"/>
    <col min="2312" max="2312" width="6.77734375" style="3" customWidth="1" collapsed="1"/>
    <col min="2313" max="2313" width="6.21875" style="3" customWidth="1" collapsed="1"/>
    <col min="2314" max="2314" width="10.21875" style="3" customWidth="1" collapsed="1"/>
    <col min="2315" max="2315" width="6.21875" style="3" customWidth="1" collapsed="1"/>
    <col min="2316" max="2316" width="6.77734375" style="3" customWidth="1" collapsed="1"/>
    <col min="2317" max="2317" width="6.21875" style="3" customWidth="1" collapsed="1"/>
    <col min="2318" max="2318" width="12" style="3" customWidth="1" collapsed="1"/>
    <col min="2319" max="2319" width="6.21875" style="3" customWidth="1" collapsed="1"/>
    <col min="2320" max="2320" width="7.109375" style="3" customWidth="1" collapsed="1"/>
    <col min="2321" max="2321" width="6.21875" style="3" customWidth="1" collapsed="1"/>
    <col min="2322" max="2322" width="13" style="3" customWidth="1" collapsed="1"/>
    <col min="2323" max="2323" width="6.21875" style="3" customWidth="1" collapsed="1"/>
    <col min="2324" max="2324" width="8.33203125" style="3" customWidth="1" collapsed="1"/>
    <col min="2325" max="2325" width="6.21875" style="3" customWidth="1" collapsed="1"/>
    <col min="2326" max="2326" width="15.44140625" style="3" customWidth="1" collapsed="1"/>
    <col min="2327" max="2327" width="6.21875" style="3" customWidth="1" collapsed="1"/>
    <col min="2328" max="2328" width="1.6640625" style="3" customWidth="1" collapsed="1"/>
    <col min="2329" max="2560" width="9" style="3" collapsed="1"/>
    <col min="2561" max="2562" width="2.77734375" style="3" customWidth="1" collapsed="1"/>
    <col min="2563" max="2563" width="7.33203125" style="3" customWidth="1" collapsed="1"/>
    <col min="2564" max="2564" width="6.77734375" style="3" customWidth="1" collapsed="1"/>
    <col min="2565" max="2565" width="6.21875" style="3" customWidth="1" collapsed="1"/>
    <col min="2566" max="2566" width="10.77734375" style="3" customWidth="1" collapsed="1"/>
    <col min="2567" max="2567" width="6.21875" style="3" customWidth="1" collapsed="1"/>
    <col min="2568" max="2568" width="6.77734375" style="3" customWidth="1" collapsed="1"/>
    <col min="2569" max="2569" width="6.21875" style="3" customWidth="1" collapsed="1"/>
    <col min="2570" max="2570" width="10.21875" style="3" customWidth="1" collapsed="1"/>
    <col min="2571" max="2571" width="6.21875" style="3" customWidth="1" collapsed="1"/>
    <col min="2572" max="2572" width="6.77734375" style="3" customWidth="1" collapsed="1"/>
    <col min="2573" max="2573" width="6.21875" style="3" customWidth="1" collapsed="1"/>
    <col min="2574" max="2574" width="12" style="3" customWidth="1" collapsed="1"/>
    <col min="2575" max="2575" width="6.21875" style="3" customWidth="1" collapsed="1"/>
    <col min="2576" max="2576" width="7.109375" style="3" customWidth="1" collapsed="1"/>
    <col min="2577" max="2577" width="6.21875" style="3" customWidth="1" collapsed="1"/>
    <col min="2578" max="2578" width="13" style="3" customWidth="1" collapsed="1"/>
    <col min="2579" max="2579" width="6.21875" style="3" customWidth="1" collapsed="1"/>
    <col min="2580" max="2580" width="8.33203125" style="3" customWidth="1" collapsed="1"/>
    <col min="2581" max="2581" width="6.21875" style="3" customWidth="1" collapsed="1"/>
    <col min="2582" max="2582" width="15.44140625" style="3" customWidth="1" collapsed="1"/>
    <col min="2583" max="2583" width="6.21875" style="3" customWidth="1" collapsed="1"/>
    <col min="2584" max="2584" width="1.6640625" style="3" customWidth="1" collapsed="1"/>
    <col min="2585" max="2816" width="9" style="3" collapsed="1"/>
    <col min="2817" max="2818" width="2.77734375" style="3" customWidth="1" collapsed="1"/>
    <col min="2819" max="2819" width="7.33203125" style="3" customWidth="1" collapsed="1"/>
    <col min="2820" max="2820" width="6.77734375" style="3" customWidth="1" collapsed="1"/>
    <col min="2821" max="2821" width="6.21875" style="3" customWidth="1" collapsed="1"/>
    <col min="2822" max="2822" width="10.77734375" style="3" customWidth="1" collapsed="1"/>
    <col min="2823" max="2823" width="6.21875" style="3" customWidth="1" collapsed="1"/>
    <col min="2824" max="2824" width="6.77734375" style="3" customWidth="1" collapsed="1"/>
    <col min="2825" max="2825" width="6.21875" style="3" customWidth="1" collapsed="1"/>
    <col min="2826" max="2826" width="10.21875" style="3" customWidth="1" collapsed="1"/>
    <col min="2827" max="2827" width="6.21875" style="3" customWidth="1" collapsed="1"/>
    <col min="2828" max="2828" width="6.77734375" style="3" customWidth="1" collapsed="1"/>
    <col min="2829" max="2829" width="6.21875" style="3" customWidth="1" collapsed="1"/>
    <col min="2830" max="2830" width="12" style="3" customWidth="1" collapsed="1"/>
    <col min="2831" max="2831" width="6.21875" style="3" customWidth="1" collapsed="1"/>
    <col min="2832" max="2832" width="7.109375" style="3" customWidth="1" collapsed="1"/>
    <col min="2833" max="2833" width="6.21875" style="3" customWidth="1" collapsed="1"/>
    <col min="2834" max="2834" width="13" style="3" customWidth="1" collapsed="1"/>
    <col min="2835" max="2835" width="6.21875" style="3" customWidth="1" collapsed="1"/>
    <col min="2836" max="2836" width="8.33203125" style="3" customWidth="1" collapsed="1"/>
    <col min="2837" max="2837" width="6.21875" style="3" customWidth="1" collapsed="1"/>
    <col min="2838" max="2838" width="15.44140625" style="3" customWidth="1" collapsed="1"/>
    <col min="2839" max="2839" width="6.21875" style="3" customWidth="1" collapsed="1"/>
    <col min="2840" max="2840" width="1.6640625" style="3" customWidth="1" collapsed="1"/>
    <col min="2841" max="3072" width="9" style="3" collapsed="1"/>
    <col min="3073" max="3074" width="2.77734375" style="3" customWidth="1" collapsed="1"/>
    <col min="3075" max="3075" width="7.33203125" style="3" customWidth="1" collapsed="1"/>
    <col min="3076" max="3076" width="6.77734375" style="3" customWidth="1" collapsed="1"/>
    <col min="3077" max="3077" width="6.21875" style="3" customWidth="1" collapsed="1"/>
    <col min="3078" max="3078" width="10.77734375" style="3" customWidth="1" collapsed="1"/>
    <col min="3079" max="3079" width="6.21875" style="3" customWidth="1" collapsed="1"/>
    <col min="3080" max="3080" width="6.77734375" style="3" customWidth="1" collapsed="1"/>
    <col min="3081" max="3081" width="6.21875" style="3" customWidth="1" collapsed="1"/>
    <col min="3082" max="3082" width="10.21875" style="3" customWidth="1" collapsed="1"/>
    <col min="3083" max="3083" width="6.21875" style="3" customWidth="1" collapsed="1"/>
    <col min="3084" max="3084" width="6.77734375" style="3" customWidth="1" collapsed="1"/>
    <col min="3085" max="3085" width="6.21875" style="3" customWidth="1" collapsed="1"/>
    <col min="3086" max="3086" width="12" style="3" customWidth="1" collapsed="1"/>
    <col min="3087" max="3087" width="6.21875" style="3" customWidth="1" collapsed="1"/>
    <col min="3088" max="3088" width="7.109375" style="3" customWidth="1" collapsed="1"/>
    <col min="3089" max="3089" width="6.21875" style="3" customWidth="1" collapsed="1"/>
    <col min="3090" max="3090" width="13" style="3" customWidth="1" collapsed="1"/>
    <col min="3091" max="3091" width="6.21875" style="3" customWidth="1" collapsed="1"/>
    <col min="3092" max="3092" width="8.33203125" style="3" customWidth="1" collapsed="1"/>
    <col min="3093" max="3093" width="6.21875" style="3" customWidth="1" collapsed="1"/>
    <col min="3094" max="3094" width="15.44140625" style="3" customWidth="1" collapsed="1"/>
    <col min="3095" max="3095" width="6.21875" style="3" customWidth="1" collapsed="1"/>
    <col min="3096" max="3096" width="1.6640625" style="3" customWidth="1" collapsed="1"/>
    <col min="3097" max="3328" width="9" style="3" collapsed="1"/>
    <col min="3329" max="3330" width="2.77734375" style="3" customWidth="1" collapsed="1"/>
    <col min="3331" max="3331" width="7.33203125" style="3" customWidth="1" collapsed="1"/>
    <col min="3332" max="3332" width="6.77734375" style="3" customWidth="1" collapsed="1"/>
    <col min="3333" max="3333" width="6.21875" style="3" customWidth="1" collapsed="1"/>
    <col min="3334" max="3334" width="10.77734375" style="3" customWidth="1" collapsed="1"/>
    <col min="3335" max="3335" width="6.21875" style="3" customWidth="1" collapsed="1"/>
    <col min="3336" max="3336" width="6.77734375" style="3" customWidth="1" collapsed="1"/>
    <col min="3337" max="3337" width="6.21875" style="3" customWidth="1" collapsed="1"/>
    <col min="3338" max="3338" width="10.21875" style="3" customWidth="1" collapsed="1"/>
    <col min="3339" max="3339" width="6.21875" style="3" customWidth="1" collapsed="1"/>
    <col min="3340" max="3340" width="6.77734375" style="3" customWidth="1" collapsed="1"/>
    <col min="3341" max="3341" width="6.21875" style="3" customWidth="1" collapsed="1"/>
    <col min="3342" max="3342" width="12" style="3" customWidth="1" collapsed="1"/>
    <col min="3343" max="3343" width="6.21875" style="3" customWidth="1" collapsed="1"/>
    <col min="3344" max="3344" width="7.109375" style="3" customWidth="1" collapsed="1"/>
    <col min="3345" max="3345" width="6.21875" style="3" customWidth="1" collapsed="1"/>
    <col min="3346" max="3346" width="13" style="3" customWidth="1" collapsed="1"/>
    <col min="3347" max="3347" width="6.21875" style="3" customWidth="1" collapsed="1"/>
    <col min="3348" max="3348" width="8.33203125" style="3" customWidth="1" collapsed="1"/>
    <col min="3349" max="3349" width="6.21875" style="3" customWidth="1" collapsed="1"/>
    <col min="3350" max="3350" width="15.44140625" style="3" customWidth="1" collapsed="1"/>
    <col min="3351" max="3351" width="6.21875" style="3" customWidth="1" collapsed="1"/>
    <col min="3352" max="3352" width="1.6640625" style="3" customWidth="1" collapsed="1"/>
    <col min="3353" max="3584" width="9" style="3" collapsed="1"/>
    <col min="3585" max="3586" width="2.77734375" style="3" customWidth="1" collapsed="1"/>
    <col min="3587" max="3587" width="7.33203125" style="3" customWidth="1" collapsed="1"/>
    <col min="3588" max="3588" width="6.77734375" style="3" customWidth="1" collapsed="1"/>
    <col min="3589" max="3589" width="6.21875" style="3" customWidth="1" collapsed="1"/>
    <col min="3590" max="3590" width="10.77734375" style="3" customWidth="1" collapsed="1"/>
    <col min="3591" max="3591" width="6.21875" style="3" customWidth="1" collapsed="1"/>
    <col min="3592" max="3592" width="6.77734375" style="3" customWidth="1" collapsed="1"/>
    <col min="3593" max="3593" width="6.21875" style="3" customWidth="1" collapsed="1"/>
    <col min="3594" max="3594" width="10.21875" style="3" customWidth="1" collapsed="1"/>
    <col min="3595" max="3595" width="6.21875" style="3" customWidth="1" collapsed="1"/>
    <col min="3596" max="3596" width="6.77734375" style="3" customWidth="1" collapsed="1"/>
    <col min="3597" max="3597" width="6.21875" style="3" customWidth="1" collapsed="1"/>
    <col min="3598" max="3598" width="12" style="3" customWidth="1" collapsed="1"/>
    <col min="3599" max="3599" width="6.21875" style="3" customWidth="1" collapsed="1"/>
    <col min="3600" max="3600" width="7.109375" style="3" customWidth="1" collapsed="1"/>
    <col min="3601" max="3601" width="6.21875" style="3" customWidth="1" collapsed="1"/>
    <col min="3602" max="3602" width="13" style="3" customWidth="1" collapsed="1"/>
    <col min="3603" max="3603" width="6.21875" style="3" customWidth="1" collapsed="1"/>
    <col min="3604" max="3604" width="8.33203125" style="3" customWidth="1" collapsed="1"/>
    <col min="3605" max="3605" width="6.21875" style="3" customWidth="1" collapsed="1"/>
    <col min="3606" max="3606" width="15.44140625" style="3" customWidth="1" collapsed="1"/>
    <col min="3607" max="3607" width="6.21875" style="3" customWidth="1" collapsed="1"/>
    <col min="3608" max="3608" width="1.6640625" style="3" customWidth="1" collapsed="1"/>
    <col min="3609" max="3840" width="9" style="3" collapsed="1"/>
    <col min="3841" max="3842" width="2.77734375" style="3" customWidth="1" collapsed="1"/>
    <col min="3843" max="3843" width="7.33203125" style="3" customWidth="1" collapsed="1"/>
    <col min="3844" max="3844" width="6.77734375" style="3" customWidth="1" collapsed="1"/>
    <col min="3845" max="3845" width="6.21875" style="3" customWidth="1" collapsed="1"/>
    <col min="3846" max="3846" width="10.77734375" style="3" customWidth="1" collapsed="1"/>
    <col min="3847" max="3847" width="6.21875" style="3" customWidth="1" collapsed="1"/>
    <col min="3848" max="3848" width="6.77734375" style="3" customWidth="1" collapsed="1"/>
    <col min="3849" max="3849" width="6.21875" style="3" customWidth="1" collapsed="1"/>
    <col min="3850" max="3850" width="10.21875" style="3" customWidth="1" collapsed="1"/>
    <col min="3851" max="3851" width="6.21875" style="3" customWidth="1" collapsed="1"/>
    <col min="3852" max="3852" width="6.77734375" style="3" customWidth="1" collapsed="1"/>
    <col min="3853" max="3853" width="6.21875" style="3" customWidth="1" collapsed="1"/>
    <col min="3854" max="3854" width="12" style="3" customWidth="1" collapsed="1"/>
    <col min="3855" max="3855" width="6.21875" style="3" customWidth="1" collapsed="1"/>
    <col min="3856" max="3856" width="7.109375" style="3" customWidth="1" collapsed="1"/>
    <col min="3857" max="3857" width="6.21875" style="3" customWidth="1" collapsed="1"/>
    <col min="3858" max="3858" width="13" style="3" customWidth="1" collapsed="1"/>
    <col min="3859" max="3859" width="6.21875" style="3" customWidth="1" collapsed="1"/>
    <col min="3860" max="3860" width="8.33203125" style="3" customWidth="1" collapsed="1"/>
    <col min="3861" max="3861" width="6.21875" style="3" customWidth="1" collapsed="1"/>
    <col min="3862" max="3862" width="15.44140625" style="3" customWidth="1" collapsed="1"/>
    <col min="3863" max="3863" width="6.21875" style="3" customWidth="1" collapsed="1"/>
    <col min="3864" max="3864" width="1.6640625" style="3" customWidth="1" collapsed="1"/>
    <col min="3865" max="4096" width="9" style="3" collapsed="1"/>
    <col min="4097" max="4098" width="2.77734375" style="3" customWidth="1" collapsed="1"/>
    <col min="4099" max="4099" width="7.33203125" style="3" customWidth="1" collapsed="1"/>
    <col min="4100" max="4100" width="6.77734375" style="3" customWidth="1" collapsed="1"/>
    <col min="4101" max="4101" width="6.21875" style="3" customWidth="1" collapsed="1"/>
    <col min="4102" max="4102" width="10.77734375" style="3" customWidth="1" collapsed="1"/>
    <col min="4103" max="4103" width="6.21875" style="3" customWidth="1" collapsed="1"/>
    <col min="4104" max="4104" width="6.77734375" style="3" customWidth="1" collapsed="1"/>
    <col min="4105" max="4105" width="6.21875" style="3" customWidth="1" collapsed="1"/>
    <col min="4106" max="4106" width="10.21875" style="3" customWidth="1" collapsed="1"/>
    <col min="4107" max="4107" width="6.21875" style="3" customWidth="1" collapsed="1"/>
    <col min="4108" max="4108" width="6.77734375" style="3" customWidth="1" collapsed="1"/>
    <col min="4109" max="4109" width="6.21875" style="3" customWidth="1" collapsed="1"/>
    <col min="4110" max="4110" width="12" style="3" customWidth="1" collapsed="1"/>
    <col min="4111" max="4111" width="6.21875" style="3" customWidth="1" collapsed="1"/>
    <col min="4112" max="4112" width="7.109375" style="3" customWidth="1" collapsed="1"/>
    <col min="4113" max="4113" width="6.21875" style="3" customWidth="1" collapsed="1"/>
    <col min="4114" max="4114" width="13" style="3" customWidth="1" collapsed="1"/>
    <col min="4115" max="4115" width="6.21875" style="3" customWidth="1" collapsed="1"/>
    <col min="4116" max="4116" width="8.33203125" style="3" customWidth="1" collapsed="1"/>
    <col min="4117" max="4117" width="6.21875" style="3" customWidth="1" collapsed="1"/>
    <col min="4118" max="4118" width="15.44140625" style="3" customWidth="1" collapsed="1"/>
    <col min="4119" max="4119" width="6.21875" style="3" customWidth="1" collapsed="1"/>
    <col min="4120" max="4120" width="1.6640625" style="3" customWidth="1" collapsed="1"/>
    <col min="4121" max="4352" width="9" style="3" collapsed="1"/>
    <col min="4353" max="4354" width="2.77734375" style="3" customWidth="1" collapsed="1"/>
    <col min="4355" max="4355" width="7.33203125" style="3" customWidth="1" collapsed="1"/>
    <col min="4356" max="4356" width="6.77734375" style="3" customWidth="1" collapsed="1"/>
    <col min="4357" max="4357" width="6.21875" style="3" customWidth="1" collapsed="1"/>
    <col min="4358" max="4358" width="10.77734375" style="3" customWidth="1" collapsed="1"/>
    <col min="4359" max="4359" width="6.21875" style="3" customWidth="1" collapsed="1"/>
    <col min="4360" max="4360" width="6.77734375" style="3" customWidth="1" collapsed="1"/>
    <col min="4361" max="4361" width="6.21875" style="3" customWidth="1" collapsed="1"/>
    <col min="4362" max="4362" width="10.21875" style="3" customWidth="1" collapsed="1"/>
    <col min="4363" max="4363" width="6.21875" style="3" customWidth="1" collapsed="1"/>
    <col min="4364" max="4364" width="6.77734375" style="3" customWidth="1" collapsed="1"/>
    <col min="4365" max="4365" width="6.21875" style="3" customWidth="1" collapsed="1"/>
    <col min="4366" max="4366" width="12" style="3" customWidth="1" collapsed="1"/>
    <col min="4367" max="4367" width="6.21875" style="3" customWidth="1" collapsed="1"/>
    <col min="4368" max="4368" width="7.109375" style="3" customWidth="1" collapsed="1"/>
    <col min="4369" max="4369" width="6.21875" style="3" customWidth="1" collapsed="1"/>
    <col min="4370" max="4370" width="13" style="3" customWidth="1" collapsed="1"/>
    <col min="4371" max="4371" width="6.21875" style="3" customWidth="1" collapsed="1"/>
    <col min="4372" max="4372" width="8.33203125" style="3" customWidth="1" collapsed="1"/>
    <col min="4373" max="4373" width="6.21875" style="3" customWidth="1" collapsed="1"/>
    <col min="4374" max="4374" width="15.44140625" style="3" customWidth="1" collapsed="1"/>
    <col min="4375" max="4375" width="6.21875" style="3" customWidth="1" collapsed="1"/>
    <col min="4376" max="4376" width="1.6640625" style="3" customWidth="1" collapsed="1"/>
    <col min="4377" max="4608" width="9" style="3" collapsed="1"/>
    <col min="4609" max="4610" width="2.77734375" style="3" customWidth="1" collapsed="1"/>
    <col min="4611" max="4611" width="7.33203125" style="3" customWidth="1" collapsed="1"/>
    <col min="4612" max="4612" width="6.77734375" style="3" customWidth="1" collapsed="1"/>
    <col min="4613" max="4613" width="6.21875" style="3" customWidth="1" collapsed="1"/>
    <col min="4614" max="4614" width="10.77734375" style="3" customWidth="1" collapsed="1"/>
    <col min="4615" max="4615" width="6.21875" style="3" customWidth="1" collapsed="1"/>
    <col min="4616" max="4616" width="6.77734375" style="3" customWidth="1" collapsed="1"/>
    <col min="4617" max="4617" width="6.21875" style="3" customWidth="1" collapsed="1"/>
    <col min="4618" max="4618" width="10.21875" style="3" customWidth="1" collapsed="1"/>
    <col min="4619" max="4619" width="6.21875" style="3" customWidth="1" collapsed="1"/>
    <col min="4620" max="4620" width="6.77734375" style="3" customWidth="1" collapsed="1"/>
    <col min="4621" max="4621" width="6.21875" style="3" customWidth="1" collapsed="1"/>
    <col min="4622" max="4622" width="12" style="3" customWidth="1" collapsed="1"/>
    <col min="4623" max="4623" width="6.21875" style="3" customWidth="1" collapsed="1"/>
    <col min="4624" max="4624" width="7.109375" style="3" customWidth="1" collapsed="1"/>
    <col min="4625" max="4625" width="6.21875" style="3" customWidth="1" collapsed="1"/>
    <col min="4626" max="4626" width="13" style="3" customWidth="1" collapsed="1"/>
    <col min="4627" max="4627" width="6.21875" style="3" customWidth="1" collapsed="1"/>
    <col min="4628" max="4628" width="8.33203125" style="3" customWidth="1" collapsed="1"/>
    <col min="4629" max="4629" width="6.21875" style="3" customWidth="1" collapsed="1"/>
    <col min="4630" max="4630" width="15.44140625" style="3" customWidth="1" collapsed="1"/>
    <col min="4631" max="4631" width="6.21875" style="3" customWidth="1" collapsed="1"/>
    <col min="4632" max="4632" width="1.6640625" style="3" customWidth="1" collapsed="1"/>
    <col min="4633" max="4864" width="9" style="3" collapsed="1"/>
    <col min="4865" max="4866" width="2.77734375" style="3" customWidth="1" collapsed="1"/>
    <col min="4867" max="4867" width="7.33203125" style="3" customWidth="1" collapsed="1"/>
    <col min="4868" max="4868" width="6.77734375" style="3" customWidth="1" collapsed="1"/>
    <col min="4869" max="4869" width="6.21875" style="3" customWidth="1" collapsed="1"/>
    <col min="4870" max="4870" width="10.77734375" style="3" customWidth="1" collapsed="1"/>
    <col min="4871" max="4871" width="6.21875" style="3" customWidth="1" collapsed="1"/>
    <col min="4872" max="4872" width="6.77734375" style="3" customWidth="1" collapsed="1"/>
    <col min="4873" max="4873" width="6.21875" style="3" customWidth="1" collapsed="1"/>
    <col min="4874" max="4874" width="10.21875" style="3" customWidth="1" collapsed="1"/>
    <col min="4875" max="4875" width="6.21875" style="3" customWidth="1" collapsed="1"/>
    <col min="4876" max="4876" width="6.77734375" style="3" customWidth="1" collapsed="1"/>
    <col min="4877" max="4877" width="6.21875" style="3" customWidth="1" collapsed="1"/>
    <col min="4878" max="4878" width="12" style="3" customWidth="1" collapsed="1"/>
    <col min="4879" max="4879" width="6.21875" style="3" customWidth="1" collapsed="1"/>
    <col min="4880" max="4880" width="7.109375" style="3" customWidth="1" collapsed="1"/>
    <col min="4881" max="4881" width="6.21875" style="3" customWidth="1" collapsed="1"/>
    <col min="4882" max="4882" width="13" style="3" customWidth="1" collapsed="1"/>
    <col min="4883" max="4883" width="6.21875" style="3" customWidth="1" collapsed="1"/>
    <col min="4884" max="4884" width="8.33203125" style="3" customWidth="1" collapsed="1"/>
    <col min="4885" max="4885" width="6.21875" style="3" customWidth="1" collapsed="1"/>
    <col min="4886" max="4886" width="15.44140625" style="3" customWidth="1" collapsed="1"/>
    <col min="4887" max="4887" width="6.21875" style="3" customWidth="1" collapsed="1"/>
    <col min="4888" max="4888" width="1.6640625" style="3" customWidth="1" collapsed="1"/>
    <col min="4889" max="5120" width="9" style="3" collapsed="1"/>
    <col min="5121" max="5122" width="2.77734375" style="3" customWidth="1" collapsed="1"/>
    <col min="5123" max="5123" width="7.33203125" style="3" customWidth="1" collapsed="1"/>
    <col min="5124" max="5124" width="6.77734375" style="3" customWidth="1" collapsed="1"/>
    <col min="5125" max="5125" width="6.21875" style="3" customWidth="1" collapsed="1"/>
    <col min="5126" max="5126" width="10.77734375" style="3" customWidth="1" collapsed="1"/>
    <col min="5127" max="5127" width="6.21875" style="3" customWidth="1" collapsed="1"/>
    <col min="5128" max="5128" width="6.77734375" style="3" customWidth="1" collapsed="1"/>
    <col min="5129" max="5129" width="6.21875" style="3" customWidth="1" collapsed="1"/>
    <col min="5130" max="5130" width="10.21875" style="3" customWidth="1" collapsed="1"/>
    <col min="5131" max="5131" width="6.21875" style="3" customWidth="1" collapsed="1"/>
    <col min="5132" max="5132" width="6.77734375" style="3" customWidth="1" collapsed="1"/>
    <col min="5133" max="5133" width="6.21875" style="3" customWidth="1" collapsed="1"/>
    <col min="5134" max="5134" width="12" style="3" customWidth="1" collapsed="1"/>
    <col min="5135" max="5135" width="6.21875" style="3" customWidth="1" collapsed="1"/>
    <col min="5136" max="5136" width="7.109375" style="3" customWidth="1" collapsed="1"/>
    <col min="5137" max="5137" width="6.21875" style="3" customWidth="1" collapsed="1"/>
    <col min="5138" max="5138" width="13" style="3" customWidth="1" collapsed="1"/>
    <col min="5139" max="5139" width="6.21875" style="3" customWidth="1" collapsed="1"/>
    <col min="5140" max="5140" width="8.33203125" style="3" customWidth="1" collapsed="1"/>
    <col min="5141" max="5141" width="6.21875" style="3" customWidth="1" collapsed="1"/>
    <col min="5142" max="5142" width="15.44140625" style="3" customWidth="1" collapsed="1"/>
    <col min="5143" max="5143" width="6.21875" style="3" customWidth="1" collapsed="1"/>
    <col min="5144" max="5144" width="1.6640625" style="3" customWidth="1" collapsed="1"/>
    <col min="5145" max="5376" width="9" style="3" collapsed="1"/>
    <col min="5377" max="5378" width="2.77734375" style="3" customWidth="1" collapsed="1"/>
    <col min="5379" max="5379" width="7.33203125" style="3" customWidth="1" collapsed="1"/>
    <col min="5380" max="5380" width="6.77734375" style="3" customWidth="1" collapsed="1"/>
    <col min="5381" max="5381" width="6.21875" style="3" customWidth="1" collapsed="1"/>
    <col min="5382" max="5382" width="10.77734375" style="3" customWidth="1" collapsed="1"/>
    <col min="5383" max="5383" width="6.21875" style="3" customWidth="1" collapsed="1"/>
    <col min="5384" max="5384" width="6.77734375" style="3" customWidth="1" collapsed="1"/>
    <col min="5385" max="5385" width="6.21875" style="3" customWidth="1" collapsed="1"/>
    <col min="5386" max="5386" width="10.21875" style="3" customWidth="1" collapsed="1"/>
    <col min="5387" max="5387" width="6.21875" style="3" customWidth="1" collapsed="1"/>
    <col min="5388" max="5388" width="6.77734375" style="3" customWidth="1" collapsed="1"/>
    <col min="5389" max="5389" width="6.21875" style="3" customWidth="1" collapsed="1"/>
    <col min="5390" max="5390" width="12" style="3" customWidth="1" collapsed="1"/>
    <col min="5391" max="5391" width="6.21875" style="3" customWidth="1" collapsed="1"/>
    <col min="5392" max="5392" width="7.109375" style="3" customWidth="1" collapsed="1"/>
    <col min="5393" max="5393" width="6.21875" style="3" customWidth="1" collapsed="1"/>
    <col min="5394" max="5394" width="13" style="3" customWidth="1" collapsed="1"/>
    <col min="5395" max="5395" width="6.21875" style="3" customWidth="1" collapsed="1"/>
    <col min="5396" max="5396" width="8.33203125" style="3" customWidth="1" collapsed="1"/>
    <col min="5397" max="5397" width="6.21875" style="3" customWidth="1" collapsed="1"/>
    <col min="5398" max="5398" width="15.44140625" style="3" customWidth="1" collapsed="1"/>
    <col min="5399" max="5399" width="6.21875" style="3" customWidth="1" collapsed="1"/>
    <col min="5400" max="5400" width="1.6640625" style="3" customWidth="1" collapsed="1"/>
    <col min="5401" max="5632" width="9" style="3" collapsed="1"/>
    <col min="5633" max="5634" width="2.77734375" style="3" customWidth="1" collapsed="1"/>
    <col min="5635" max="5635" width="7.33203125" style="3" customWidth="1" collapsed="1"/>
    <col min="5636" max="5636" width="6.77734375" style="3" customWidth="1" collapsed="1"/>
    <col min="5637" max="5637" width="6.21875" style="3" customWidth="1" collapsed="1"/>
    <col min="5638" max="5638" width="10.77734375" style="3" customWidth="1" collapsed="1"/>
    <col min="5639" max="5639" width="6.21875" style="3" customWidth="1" collapsed="1"/>
    <col min="5640" max="5640" width="6.77734375" style="3" customWidth="1" collapsed="1"/>
    <col min="5641" max="5641" width="6.21875" style="3" customWidth="1" collapsed="1"/>
    <col min="5642" max="5642" width="10.21875" style="3" customWidth="1" collapsed="1"/>
    <col min="5643" max="5643" width="6.21875" style="3" customWidth="1" collapsed="1"/>
    <col min="5644" max="5644" width="6.77734375" style="3" customWidth="1" collapsed="1"/>
    <col min="5645" max="5645" width="6.21875" style="3" customWidth="1" collapsed="1"/>
    <col min="5646" max="5646" width="12" style="3" customWidth="1" collapsed="1"/>
    <col min="5647" max="5647" width="6.21875" style="3" customWidth="1" collapsed="1"/>
    <col min="5648" max="5648" width="7.109375" style="3" customWidth="1" collapsed="1"/>
    <col min="5649" max="5649" width="6.21875" style="3" customWidth="1" collapsed="1"/>
    <col min="5650" max="5650" width="13" style="3" customWidth="1" collapsed="1"/>
    <col min="5651" max="5651" width="6.21875" style="3" customWidth="1" collapsed="1"/>
    <col min="5652" max="5652" width="8.33203125" style="3" customWidth="1" collapsed="1"/>
    <col min="5653" max="5653" width="6.21875" style="3" customWidth="1" collapsed="1"/>
    <col min="5654" max="5654" width="15.44140625" style="3" customWidth="1" collapsed="1"/>
    <col min="5655" max="5655" width="6.21875" style="3" customWidth="1" collapsed="1"/>
    <col min="5656" max="5656" width="1.6640625" style="3" customWidth="1" collapsed="1"/>
    <col min="5657" max="5888" width="9" style="3" collapsed="1"/>
    <col min="5889" max="5890" width="2.77734375" style="3" customWidth="1" collapsed="1"/>
    <col min="5891" max="5891" width="7.33203125" style="3" customWidth="1" collapsed="1"/>
    <col min="5892" max="5892" width="6.77734375" style="3" customWidth="1" collapsed="1"/>
    <col min="5893" max="5893" width="6.21875" style="3" customWidth="1" collapsed="1"/>
    <col min="5894" max="5894" width="10.77734375" style="3" customWidth="1" collapsed="1"/>
    <col min="5895" max="5895" width="6.21875" style="3" customWidth="1" collapsed="1"/>
    <col min="5896" max="5896" width="6.77734375" style="3" customWidth="1" collapsed="1"/>
    <col min="5897" max="5897" width="6.21875" style="3" customWidth="1" collapsed="1"/>
    <col min="5898" max="5898" width="10.21875" style="3" customWidth="1" collapsed="1"/>
    <col min="5899" max="5899" width="6.21875" style="3" customWidth="1" collapsed="1"/>
    <col min="5900" max="5900" width="6.77734375" style="3" customWidth="1" collapsed="1"/>
    <col min="5901" max="5901" width="6.21875" style="3" customWidth="1" collapsed="1"/>
    <col min="5902" max="5902" width="12" style="3" customWidth="1" collapsed="1"/>
    <col min="5903" max="5903" width="6.21875" style="3" customWidth="1" collapsed="1"/>
    <col min="5904" max="5904" width="7.109375" style="3" customWidth="1" collapsed="1"/>
    <col min="5905" max="5905" width="6.21875" style="3" customWidth="1" collapsed="1"/>
    <col min="5906" max="5906" width="13" style="3" customWidth="1" collapsed="1"/>
    <col min="5907" max="5907" width="6.21875" style="3" customWidth="1" collapsed="1"/>
    <col min="5908" max="5908" width="8.33203125" style="3" customWidth="1" collapsed="1"/>
    <col min="5909" max="5909" width="6.21875" style="3" customWidth="1" collapsed="1"/>
    <col min="5910" max="5910" width="15.44140625" style="3" customWidth="1" collapsed="1"/>
    <col min="5911" max="5911" width="6.21875" style="3" customWidth="1" collapsed="1"/>
    <col min="5912" max="5912" width="1.6640625" style="3" customWidth="1" collapsed="1"/>
    <col min="5913" max="6144" width="9" style="3" collapsed="1"/>
    <col min="6145" max="6146" width="2.77734375" style="3" customWidth="1" collapsed="1"/>
    <col min="6147" max="6147" width="7.33203125" style="3" customWidth="1" collapsed="1"/>
    <col min="6148" max="6148" width="6.77734375" style="3" customWidth="1" collapsed="1"/>
    <col min="6149" max="6149" width="6.21875" style="3" customWidth="1" collapsed="1"/>
    <col min="6150" max="6150" width="10.77734375" style="3" customWidth="1" collapsed="1"/>
    <col min="6151" max="6151" width="6.21875" style="3" customWidth="1" collapsed="1"/>
    <col min="6152" max="6152" width="6.77734375" style="3" customWidth="1" collapsed="1"/>
    <col min="6153" max="6153" width="6.21875" style="3" customWidth="1" collapsed="1"/>
    <col min="6154" max="6154" width="10.21875" style="3" customWidth="1" collapsed="1"/>
    <col min="6155" max="6155" width="6.21875" style="3" customWidth="1" collapsed="1"/>
    <col min="6156" max="6156" width="6.77734375" style="3" customWidth="1" collapsed="1"/>
    <col min="6157" max="6157" width="6.21875" style="3" customWidth="1" collapsed="1"/>
    <col min="6158" max="6158" width="12" style="3" customWidth="1" collapsed="1"/>
    <col min="6159" max="6159" width="6.21875" style="3" customWidth="1" collapsed="1"/>
    <col min="6160" max="6160" width="7.109375" style="3" customWidth="1" collapsed="1"/>
    <col min="6161" max="6161" width="6.21875" style="3" customWidth="1" collapsed="1"/>
    <col min="6162" max="6162" width="13" style="3" customWidth="1" collapsed="1"/>
    <col min="6163" max="6163" width="6.21875" style="3" customWidth="1" collapsed="1"/>
    <col min="6164" max="6164" width="8.33203125" style="3" customWidth="1" collapsed="1"/>
    <col min="6165" max="6165" width="6.21875" style="3" customWidth="1" collapsed="1"/>
    <col min="6166" max="6166" width="15.44140625" style="3" customWidth="1" collapsed="1"/>
    <col min="6167" max="6167" width="6.21875" style="3" customWidth="1" collapsed="1"/>
    <col min="6168" max="6168" width="1.6640625" style="3" customWidth="1" collapsed="1"/>
    <col min="6169" max="6400" width="9" style="3" collapsed="1"/>
    <col min="6401" max="6402" width="2.77734375" style="3" customWidth="1" collapsed="1"/>
    <col min="6403" max="6403" width="7.33203125" style="3" customWidth="1" collapsed="1"/>
    <col min="6404" max="6404" width="6.77734375" style="3" customWidth="1" collapsed="1"/>
    <col min="6405" max="6405" width="6.21875" style="3" customWidth="1" collapsed="1"/>
    <col min="6406" max="6406" width="10.77734375" style="3" customWidth="1" collapsed="1"/>
    <col min="6407" max="6407" width="6.21875" style="3" customWidth="1" collapsed="1"/>
    <col min="6408" max="6408" width="6.77734375" style="3" customWidth="1" collapsed="1"/>
    <col min="6409" max="6409" width="6.21875" style="3" customWidth="1" collapsed="1"/>
    <col min="6410" max="6410" width="10.21875" style="3" customWidth="1" collapsed="1"/>
    <col min="6411" max="6411" width="6.21875" style="3" customWidth="1" collapsed="1"/>
    <col min="6412" max="6412" width="6.77734375" style="3" customWidth="1" collapsed="1"/>
    <col min="6413" max="6413" width="6.21875" style="3" customWidth="1" collapsed="1"/>
    <col min="6414" max="6414" width="12" style="3" customWidth="1" collapsed="1"/>
    <col min="6415" max="6415" width="6.21875" style="3" customWidth="1" collapsed="1"/>
    <col min="6416" max="6416" width="7.109375" style="3" customWidth="1" collapsed="1"/>
    <col min="6417" max="6417" width="6.21875" style="3" customWidth="1" collapsed="1"/>
    <col min="6418" max="6418" width="13" style="3" customWidth="1" collapsed="1"/>
    <col min="6419" max="6419" width="6.21875" style="3" customWidth="1" collapsed="1"/>
    <col min="6420" max="6420" width="8.33203125" style="3" customWidth="1" collapsed="1"/>
    <col min="6421" max="6421" width="6.21875" style="3" customWidth="1" collapsed="1"/>
    <col min="6422" max="6422" width="15.44140625" style="3" customWidth="1" collapsed="1"/>
    <col min="6423" max="6423" width="6.21875" style="3" customWidth="1" collapsed="1"/>
    <col min="6424" max="6424" width="1.6640625" style="3" customWidth="1" collapsed="1"/>
    <col min="6425" max="6656" width="9" style="3" collapsed="1"/>
    <col min="6657" max="6658" width="2.77734375" style="3" customWidth="1" collapsed="1"/>
    <col min="6659" max="6659" width="7.33203125" style="3" customWidth="1" collapsed="1"/>
    <col min="6660" max="6660" width="6.77734375" style="3" customWidth="1" collapsed="1"/>
    <col min="6661" max="6661" width="6.21875" style="3" customWidth="1" collapsed="1"/>
    <col min="6662" max="6662" width="10.77734375" style="3" customWidth="1" collapsed="1"/>
    <col min="6663" max="6663" width="6.21875" style="3" customWidth="1" collapsed="1"/>
    <col min="6664" max="6664" width="6.77734375" style="3" customWidth="1" collapsed="1"/>
    <col min="6665" max="6665" width="6.21875" style="3" customWidth="1" collapsed="1"/>
    <col min="6666" max="6666" width="10.21875" style="3" customWidth="1" collapsed="1"/>
    <col min="6667" max="6667" width="6.21875" style="3" customWidth="1" collapsed="1"/>
    <col min="6668" max="6668" width="6.77734375" style="3" customWidth="1" collapsed="1"/>
    <col min="6669" max="6669" width="6.21875" style="3" customWidth="1" collapsed="1"/>
    <col min="6670" max="6670" width="12" style="3" customWidth="1" collapsed="1"/>
    <col min="6671" max="6671" width="6.21875" style="3" customWidth="1" collapsed="1"/>
    <col min="6672" max="6672" width="7.109375" style="3" customWidth="1" collapsed="1"/>
    <col min="6673" max="6673" width="6.21875" style="3" customWidth="1" collapsed="1"/>
    <col min="6674" max="6674" width="13" style="3" customWidth="1" collapsed="1"/>
    <col min="6675" max="6675" width="6.21875" style="3" customWidth="1" collapsed="1"/>
    <col min="6676" max="6676" width="8.33203125" style="3" customWidth="1" collapsed="1"/>
    <col min="6677" max="6677" width="6.21875" style="3" customWidth="1" collapsed="1"/>
    <col min="6678" max="6678" width="15.44140625" style="3" customWidth="1" collapsed="1"/>
    <col min="6679" max="6679" width="6.21875" style="3" customWidth="1" collapsed="1"/>
    <col min="6680" max="6680" width="1.6640625" style="3" customWidth="1" collapsed="1"/>
    <col min="6681" max="6912" width="9" style="3" collapsed="1"/>
    <col min="6913" max="6914" width="2.77734375" style="3" customWidth="1" collapsed="1"/>
    <col min="6915" max="6915" width="7.33203125" style="3" customWidth="1" collapsed="1"/>
    <col min="6916" max="6916" width="6.77734375" style="3" customWidth="1" collapsed="1"/>
    <col min="6917" max="6917" width="6.21875" style="3" customWidth="1" collapsed="1"/>
    <col min="6918" max="6918" width="10.77734375" style="3" customWidth="1" collapsed="1"/>
    <col min="6919" max="6919" width="6.21875" style="3" customWidth="1" collapsed="1"/>
    <col min="6920" max="6920" width="6.77734375" style="3" customWidth="1" collapsed="1"/>
    <col min="6921" max="6921" width="6.21875" style="3" customWidth="1" collapsed="1"/>
    <col min="6922" max="6922" width="10.21875" style="3" customWidth="1" collapsed="1"/>
    <col min="6923" max="6923" width="6.21875" style="3" customWidth="1" collapsed="1"/>
    <col min="6924" max="6924" width="6.77734375" style="3" customWidth="1" collapsed="1"/>
    <col min="6925" max="6925" width="6.21875" style="3" customWidth="1" collapsed="1"/>
    <col min="6926" max="6926" width="12" style="3" customWidth="1" collapsed="1"/>
    <col min="6927" max="6927" width="6.21875" style="3" customWidth="1" collapsed="1"/>
    <col min="6928" max="6928" width="7.109375" style="3" customWidth="1" collapsed="1"/>
    <col min="6929" max="6929" width="6.21875" style="3" customWidth="1" collapsed="1"/>
    <col min="6930" max="6930" width="13" style="3" customWidth="1" collapsed="1"/>
    <col min="6931" max="6931" width="6.21875" style="3" customWidth="1" collapsed="1"/>
    <col min="6932" max="6932" width="8.33203125" style="3" customWidth="1" collapsed="1"/>
    <col min="6933" max="6933" width="6.21875" style="3" customWidth="1" collapsed="1"/>
    <col min="6934" max="6934" width="15.44140625" style="3" customWidth="1" collapsed="1"/>
    <col min="6935" max="6935" width="6.21875" style="3" customWidth="1" collapsed="1"/>
    <col min="6936" max="6936" width="1.6640625" style="3" customWidth="1" collapsed="1"/>
    <col min="6937" max="7168" width="9" style="3" collapsed="1"/>
    <col min="7169" max="7170" width="2.77734375" style="3" customWidth="1" collapsed="1"/>
    <col min="7171" max="7171" width="7.33203125" style="3" customWidth="1" collapsed="1"/>
    <col min="7172" max="7172" width="6.77734375" style="3" customWidth="1" collapsed="1"/>
    <col min="7173" max="7173" width="6.21875" style="3" customWidth="1" collapsed="1"/>
    <col min="7174" max="7174" width="10.77734375" style="3" customWidth="1" collapsed="1"/>
    <col min="7175" max="7175" width="6.21875" style="3" customWidth="1" collapsed="1"/>
    <col min="7176" max="7176" width="6.77734375" style="3" customWidth="1" collapsed="1"/>
    <col min="7177" max="7177" width="6.21875" style="3" customWidth="1" collapsed="1"/>
    <col min="7178" max="7178" width="10.21875" style="3" customWidth="1" collapsed="1"/>
    <col min="7179" max="7179" width="6.21875" style="3" customWidth="1" collapsed="1"/>
    <col min="7180" max="7180" width="6.77734375" style="3" customWidth="1" collapsed="1"/>
    <col min="7181" max="7181" width="6.21875" style="3" customWidth="1" collapsed="1"/>
    <col min="7182" max="7182" width="12" style="3" customWidth="1" collapsed="1"/>
    <col min="7183" max="7183" width="6.21875" style="3" customWidth="1" collapsed="1"/>
    <col min="7184" max="7184" width="7.109375" style="3" customWidth="1" collapsed="1"/>
    <col min="7185" max="7185" width="6.21875" style="3" customWidth="1" collapsed="1"/>
    <col min="7186" max="7186" width="13" style="3" customWidth="1" collapsed="1"/>
    <col min="7187" max="7187" width="6.21875" style="3" customWidth="1" collapsed="1"/>
    <col min="7188" max="7188" width="8.33203125" style="3" customWidth="1" collapsed="1"/>
    <col min="7189" max="7189" width="6.21875" style="3" customWidth="1" collapsed="1"/>
    <col min="7190" max="7190" width="15.44140625" style="3" customWidth="1" collapsed="1"/>
    <col min="7191" max="7191" width="6.21875" style="3" customWidth="1" collapsed="1"/>
    <col min="7192" max="7192" width="1.6640625" style="3" customWidth="1" collapsed="1"/>
    <col min="7193" max="7424" width="9" style="3" collapsed="1"/>
    <col min="7425" max="7426" width="2.77734375" style="3" customWidth="1" collapsed="1"/>
    <col min="7427" max="7427" width="7.33203125" style="3" customWidth="1" collapsed="1"/>
    <col min="7428" max="7428" width="6.77734375" style="3" customWidth="1" collapsed="1"/>
    <col min="7429" max="7429" width="6.21875" style="3" customWidth="1" collapsed="1"/>
    <col min="7430" max="7430" width="10.77734375" style="3" customWidth="1" collapsed="1"/>
    <col min="7431" max="7431" width="6.21875" style="3" customWidth="1" collapsed="1"/>
    <col min="7432" max="7432" width="6.77734375" style="3" customWidth="1" collapsed="1"/>
    <col min="7433" max="7433" width="6.21875" style="3" customWidth="1" collapsed="1"/>
    <col min="7434" max="7434" width="10.21875" style="3" customWidth="1" collapsed="1"/>
    <col min="7435" max="7435" width="6.21875" style="3" customWidth="1" collapsed="1"/>
    <col min="7436" max="7436" width="6.77734375" style="3" customWidth="1" collapsed="1"/>
    <col min="7437" max="7437" width="6.21875" style="3" customWidth="1" collapsed="1"/>
    <col min="7438" max="7438" width="12" style="3" customWidth="1" collapsed="1"/>
    <col min="7439" max="7439" width="6.21875" style="3" customWidth="1" collapsed="1"/>
    <col min="7440" max="7440" width="7.109375" style="3" customWidth="1" collapsed="1"/>
    <col min="7441" max="7441" width="6.21875" style="3" customWidth="1" collapsed="1"/>
    <col min="7442" max="7442" width="13" style="3" customWidth="1" collapsed="1"/>
    <col min="7443" max="7443" width="6.21875" style="3" customWidth="1" collapsed="1"/>
    <col min="7444" max="7444" width="8.33203125" style="3" customWidth="1" collapsed="1"/>
    <col min="7445" max="7445" width="6.21875" style="3" customWidth="1" collapsed="1"/>
    <col min="7446" max="7446" width="15.44140625" style="3" customWidth="1" collapsed="1"/>
    <col min="7447" max="7447" width="6.21875" style="3" customWidth="1" collapsed="1"/>
    <col min="7448" max="7448" width="1.6640625" style="3" customWidth="1" collapsed="1"/>
    <col min="7449" max="7680" width="9" style="3" collapsed="1"/>
    <col min="7681" max="7682" width="2.77734375" style="3" customWidth="1" collapsed="1"/>
    <col min="7683" max="7683" width="7.33203125" style="3" customWidth="1" collapsed="1"/>
    <col min="7684" max="7684" width="6.77734375" style="3" customWidth="1" collapsed="1"/>
    <col min="7685" max="7685" width="6.21875" style="3" customWidth="1" collapsed="1"/>
    <col min="7686" max="7686" width="10.77734375" style="3" customWidth="1" collapsed="1"/>
    <col min="7687" max="7687" width="6.21875" style="3" customWidth="1" collapsed="1"/>
    <col min="7688" max="7688" width="6.77734375" style="3" customWidth="1" collapsed="1"/>
    <col min="7689" max="7689" width="6.21875" style="3" customWidth="1" collapsed="1"/>
    <col min="7690" max="7690" width="10.21875" style="3" customWidth="1" collapsed="1"/>
    <col min="7691" max="7691" width="6.21875" style="3" customWidth="1" collapsed="1"/>
    <col min="7692" max="7692" width="6.77734375" style="3" customWidth="1" collapsed="1"/>
    <col min="7693" max="7693" width="6.21875" style="3" customWidth="1" collapsed="1"/>
    <col min="7694" max="7694" width="12" style="3" customWidth="1" collapsed="1"/>
    <col min="7695" max="7695" width="6.21875" style="3" customWidth="1" collapsed="1"/>
    <col min="7696" max="7696" width="7.109375" style="3" customWidth="1" collapsed="1"/>
    <col min="7697" max="7697" width="6.21875" style="3" customWidth="1" collapsed="1"/>
    <col min="7698" max="7698" width="13" style="3" customWidth="1" collapsed="1"/>
    <col min="7699" max="7699" width="6.21875" style="3" customWidth="1" collapsed="1"/>
    <col min="7700" max="7700" width="8.33203125" style="3" customWidth="1" collapsed="1"/>
    <col min="7701" max="7701" width="6.21875" style="3" customWidth="1" collapsed="1"/>
    <col min="7702" max="7702" width="15.44140625" style="3" customWidth="1" collapsed="1"/>
    <col min="7703" max="7703" width="6.21875" style="3" customWidth="1" collapsed="1"/>
    <col min="7704" max="7704" width="1.6640625" style="3" customWidth="1" collapsed="1"/>
    <col min="7705" max="7936" width="9" style="3" collapsed="1"/>
    <col min="7937" max="7938" width="2.77734375" style="3" customWidth="1" collapsed="1"/>
    <col min="7939" max="7939" width="7.33203125" style="3" customWidth="1" collapsed="1"/>
    <col min="7940" max="7940" width="6.77734375" style="3" customWidth="1" collapsed="1"/>
    <col min="7941" max="7941" width="6.21875" style="3" customWidth="1" collapsed="1"/>
    <col min="7942" max="7942" width="10.77734375" style="3" customWidth="1" collapsed="1"/>
    <col min="7943" max="7943" width="6.21875" style="3" customWidth="1" collapsed="1"/>
    <col min="7944" max="7944" width="6.77734375" style="3" customWidth="1" collapsed="1"/>
    <col min="7945" max="7945" width="6.21875" style="3" customWidth="1" collapsed="1"/>
    <col min="7946" max="7946" width="10.21875" style="3" customWidth="1" collapsed="1"/>
    <col min="7947" max="7947" width="6.21875" style="3" customWidth="1" collapsed="1"/>
    <col min="7948" max="7948" width="6.77734375" style="3" customWidth="1" collapsed="1"/>
    <col min="7949" max="7949" width="6.21875" style="3" customWidth="1" collapsed="1"/>
    <col min="7950" max="7950" width="12" style="3" customWidth="1" collapsed="1"/>
    <col min="7951" max="7951" width="6.21875" style="3" customWidth="1" collapsed="1"/>
    <col min="7952" max="7952" width="7.109375" style="3" customWidth="1" collapsed="1"/>
    <col min="7953" max="7953" width="6.21875" style="3" customWidth="1" collapsed="1"/>
    <col min="7954" max="7954" width="13" style="3" customWidth="1" collapsed="1"/>
    <col min="7955" max="7955" width="6.21875" style="3" customWidth="1" collapsed="1"/>
    <col min="7956" max="7956" width="8.33203125" style="3" customWidth="1" collapsed="1"/>
    <col min="7957" max="7957" width="6.21875" style="3" customWidth="1" collapsed="1"/>
    <col min="7958" max="7958" width="15.44140625" style="3" customWidth="1" collapsed="1"/>
    <col min="7959" max="7959" width="6.21875" style="3" customWidth="1" collapsed="1"/>
    <col min="7960" max="7960" width="1.6640625" style="3" customWidth="1" collapsed="1"/>
    <col min="7961" max="8192" width="9" style="3" collapsed="1"/>
    <col min="8193" max="8194" width="2.77734375" style="3" customWidth="1" collapsed="1"/>
    <col min="8195" max="8195" width="7.33203125" style="3" customWidth="1" collapsed="1"/>
    <col min="8196" max="8196" width="6.77734375" style="3" customWidth="1" collapsed="1"/>
    <col min="8197" max="8197" width="6.21875" style="3" customWidth="1" collapsed="1"/>
    <col min="8198" max="8198" width="10.77734375" style="3" customWidth="1" collapsed="1"/>
    <col min="8199" max="8199" width="6.21875" style="3" customWidth="1" collapsed="1"/>
    <col min="8200" max="8200" width="6.77734375" style="3" customWidth="1" collapsed="1"/>
    <col min="8201" max="8201" width="6.21875" style="3" customWidth="1" collapsed="1"/>
    <col min="8202" max="8202" width="10.21875" style="3" customWidth="1" collapsed="1"/>
    <col min="8203" max="8203" width="6.21875" style="3" customWidth="1" collapsed="1"/>
    <col min="8204" max="8204" width="6.77734375" style="3" customWidth="1" collapsed="1"/>
    <col min="8205" max="8205" width="6.21875" style="3" customWidth="1" collapsed="1"/>
    <col min="8206" max="8206" width="12" style="3" customWidth="1" collapsed="1"/>
    <col min="8207" max="8207" width="6.21875" style="3" customWidth="1" collapsed="1"/>
    <col min="8208" max="8208" width="7.109375" style="3" customWidth="1" collapsed="1"/>
    <col min="8209" max="8209" width="6.21875" style="3" customWidth="1" collapsed="1"/>
    <col min="8210" max="8210" width="13" style="3" customWidth="1" collapsed="1"/>
    <col min="8211" max="8211" width="6.21875" style="3" customWidth="1" collapsed="1"/>
    <col min="8212" max="8212" width="8.33203125" style="3" customWidth="1" collapsed="1"/>
    <col min="8213" max="8213" width="6.21875" style="3" customWidth="1" collapsed="1"/>
    <col min="8214" max="8214" width="15.44140625" style="3" customWidth="1" collapsed="1"/>
    <col min="8215" max="8215" width="6.21875" style="3" customWidth="1" collapsed="1"/>
    <col min="8216" max="8216" width="1.6640625" style="3" customWidth="1" collapsed="1"/>
    <col min="8217" max="8448" width="9" style="3" collapsed="1"/>
    <col min="8449" max="8450" width="2.77734375" style="3" customWidth="1" collapsed="1"/>
    <col min="8451" max="8451" width="7.33203125" style="3" customWidth="1" collapsed="1"/>
    <col min="8452" max="8452" width="6.77734375" style="3" customWidth="1" collapsed="1"/>
    <col min="8453" max="8453" width="6.21875" style="3" customWidth="1" collapsed="1"/>
    <col min="8454" max="8454" width="10.77734375" style="3" customWidth="1" collapsed="1"/>
    <col min="8455" max="8455" width="6.21875" style="3" customWidth="1" collapsed="1"/>
    <col min="8456" max="8456" width="6.77734375" style="3" customWidth="1" collapsed="1"/>
    <col min="8457" max="8457" width="6.21875" style="3" customWidth="1" collapsed="1"/>
    <col min="8458" max="8458" width="10.21875" style="3" customWidth="1" collapsed="1"/>
    <col min="8459" max="8459" width="6.21875" style="3" customWidth="1" collapsed="1"/>
    <col min="8460" max="8460" width="6.77734375" style="3" customWidth="1" collapsed="1"/>
    <col min="8461" max="8461" width="6.21875" style="3" customWidth="1" collapsed="1"/>
    <col min="8462" max="8462" width="12" style="3" customWidth="1" collapsed="1"/>
    <col min="8463" max="8463" width="6.21875" style="3" customWidth="1" collapsed="1"/>
    <col min="8464" max="8464" width="7.109375" style="3" customWidth="1" collapsed="1"/>
    <col min="8465" max="8465" width="6.21875" style="3" customWidth="1" collapsed="1"/>
    <col min="8466" max="8466" width="13" style="3" customWidth="1" collapsed="1"/>
    <col min="8467" max="8467" width="6.21875" style="3" customWidth="1" collapsed="1"/>
    <col min="8468" max="8468" width="8.33203125" style="3" customWidth="1" collapsed="1"/>
    <col min="8469" max="8469" width="6.21875" style="3" customWidth="1" collapsed="1"/>
    <col min="8470" max="8470" width="15.44140625" style="3" customWidth="1" collapsed="1"/>
    <col min="8471" max="8471" width="6.21875" style="3" customWidth="1" collapsed="1"/>
    <col min="8472" max="8472" width="1.6640625" style="3" customWidth="1" collapsed="1"/>
    <col min="8473" max="8704" width="9" style="3" collapsed="1"/>
    <col min="8705" max="8706" width="2.77734375" style="3" customWidth="1" collapsed="1"/>
    <col min="8707" max="8707" width="7.33203125" style="3" customWidth="1" collapsed="1"/>
    <col min="8708" max="8708" width="6.77734375" style="3" customWidth="1" collapsed="1"/>
    <col min="8709" max="8709" width="6.21875" style="3" customWidth="1" collapsed="1"/>
    <col min="8710" max="8710" width="10.77734375" style="3" customWidth="1" collapsed="1"/>
    <col min="8711" max="8711" width="6.21875" style="3" customWidth="1" collapsed="1"/>
    <col min="8712" max="8712" width="6.77734375" style="3" customWidth="1" collapsed="1"/>
    <col min="8713" max="8713" width="6.21875" style="3" customWidth="1" collapsed="1"/>
    <col min="8714" max="8714" width="10.21875" style="3" customWidth="1" collapsed="1"/>
    <col min="8715" max="8715" width="6.21875" style="3" customWidth="1" collapsed="1"/>
    <col min="8716" max="8716" width="6.77734375" style="3" customWidth="1" collapsed="1"/>
    <col min="8717" max="8717" width="6.21875" style="3" customWidth="1" collapsed="1"/>
    <col min="8718" max="8718" width="12" style="3" customWidth="1" collapsed="1"/>
    <col min="8719" max="8719" width="6.21875" style="3" customWidth="1" collapsed="1"/>
    <col min="8720" max="8720" width="7.109375" style="3" customWidth="1" collapsed="1"/>
    <col min="8721" max="8721" width="6.21875" style="3" customWidth="1" collapsed="1"/>
    <col min="8722" max="8722" width="13" style="3" customWidth="1" collapsed="1"/>
    <col min="8723" max="8723" width="6.21875" style="3" customWidth="1" collapsed="1"/>
    <col min="8724" max="8724" width="8.33203125" style="3" customWidth="1" collapsed="1"/>
    <col min="8725" max="8725" width="6.21875" style="3" customWidth="1" collapsed="1"/>
    <col min="8726" max="8726" width="15.44140625" style="3" customWidth="1" collapsed="1"/>
    <col min="8727" max="8727" width="6.21875" style="3" customWidth="1" collapsed="1"/>
    <col min="8728" max="8728" width="1.6640625" style="3" customWidth="1" collapsed="1"/>
    <col min="8729" max="8960" width="9" style="3" collapsed="1"/>
    <col min="8961" max="8962" width="2.77734375" style="3" customWidth="1" collapsed="1"/>
    <col min="8963" max="8963" width="7.33203125" style="3" customWidth="1" collapsed="1"/>
    <col min="8964" max="8964" width="6.77734375" style="3" customWidth="1" collapsed="1"/>
    <col min="8965" max="8965" width="6.21875" style="3" customWidth="1" collapsed="1"/>
    <col min="8966" max="8966" width="10.77734375" style="3" customWidth="1" collapsed="1"/>
    <col min="8967" max="8967" width="6.21875" style="3" customWidth="1" collapsed="1"/>
    <col min="8968" max="8968" width="6.77734375" style="3" customWidth="1" collapsed="1"/>
    <col min="8969" max="8969" width="6.21875" style="3" customWidth="1" collapsed="1"/>
    <col min="8970" max="8970" width="10.21875" style="3" customWidth="1" collapsed="1"/>
    <col min="8971" max="8971" width="6.21875" style="3" customWidth="1" collapsed="1"/>
    <col min="8972" max="8972" width="6.77734375" style="3" customWidth="1" collapsed="1"/>
    <col min="8973" max="8973" width="6.21875" style="3" customWidth="1" collapsed="1"/>
    <col min="8974" max="8974" width="12" style="3" customWidth="1" collapsed="1"/>
    <col min="8975" max="8975" width="6.21875" style="3" customWidth="1" collapsed="1"/>
    <col min="8976" max="8976" width="7.109375" style="3" customWidth="1" collapsed="1"/>
    <col min="8977" max="8977" width="6.21875" style="3" customWidth="1" collapsed="1"/>
    <col min="8978" max="8978" width="13" style="3" customWidth="1" collapsed="1"/>
    <col min="8979" max="8979" width="6.21875" style="3" customWidth="1" collapsed="1"/>
    <col min="8980" max="8980" width="8.33203125" style="3" customWidth="1" collapsed="1"/>
    <col min="8981" max="8981" width="6.21875" style="3" customWidth="1" collapsed="1"/>
    <col min="8982" max="8982" width="15.44140625" style="3" customWidth="1" collapsed="1"/>
    <col min="8983" max="8983" width="6.21875" style="3" customWidth="1" collapsed="1"/>
    <col min="8984" max="8984" width="1.6640625" style="3" customWidth="1" collapsed="1"/>
    <col min="8985" max="9216" width="9" style="3" collapsed="1"/>
    <col min="9217" max="9218" width="2.77734375" style="3" customWidth="1" collapsed="1"/>
    <col min="9219" max="9219" width="7.33203125" style="3" customWidth="1" collapsed="1"/>
    <col min="9220" max="9220" width="6.77734375" style="3" customWidth="1" collapsed="1"/>
    <col min="9221" max="9221" width="6.21875" style="3" customWidth="1" collapsed="1"/>
    <col min="9222" max="9222" width="10.77734375" style="3" customWidth="1" collapsed="1"/>
    <col min="9223" max="9223" width="6.21875" style="3" customWidth="1" collapsed="1"/>
    <col min="9224" max="9224" width="6.77734375" style="3" customWidth="1" collapsed="1"/>
    <col min="9225" max="9225" width="6.21875" style="3" customWidth="1" collapsed="1"/>
    <col min="9226" max="9226" width="10.21875" style="3" customWidth="1" collapsed="1"/>
    <col min="9227" max="9227" width="6.21875" style="3" customWidth="1" collapsed="1"/>
    <col min="9228" max="9228" width="6.77734375" style="3" customWidth="1" collapsed="1"/>
    <col min="9229" max="9229" width="6.21875" style="3" customWidth="1" collapsed="1"/>
    <col min="9230" max="9230" width="12" style="3" customWidth="1" collapsed="1"/>
    <col min="9231" max="9231" width="6.21875" style="3" customWidth="1" collapsed="1"/>
    <col min="9232" max="9232" width="7.109375" style="3" customWidth="1" collapsed="1"/>
    <col min="9233" max="9233" width="6.21875" style="3" customWidth="1" collapsed="1"/>
    <col min="9234" max="9234" width="13" style="3" customWidth="1" collapsed="1"/>
    <col min="9235" max="9235" width="6.21875" style="3" customWidth="1" collapsed="1"/>
    <col min="9236" max="9236" width="8.33203125" style="3" customWidth="1" collapsed="1"/>
    <col min="9237" max="9237" width="6.21875" style="3" customWidth="1" collapsed="1"/>
    <col min="9238" max="9238" width="15.44140625" style="3" customWidth="1" collapsed="1"/>
    <col min="9239" max="9239" width="6.21875" style="3" customWidth="1" collapsed="1"/>
    <col min="9240" max="9240" width="1.6640625" style="3" customWidth="1" collapsed="1"/>
    <col min="9241" max="9472" width="9" style="3" collapsed="1"/>
    <col min="9473" max="9474" width="2.77734375" style="3" customWidth="1" collapsed="1"/>
    <col min="9475" max="9475" width="7.33203125" style="3" customWidth="1" collapsed="1"/>
    <col min="9476" max="9476" width="6.77734375" style="3" customWidth="1" collapsed="1"/>
    <col min="9477" max="9477" width="6.21875" style="3" customWidth="1" collapsed="1"/>
    <col min="9478" max="9478" width="10.77734375" style="3" customWidth="1" collapsed="1"/>
    <col min="9479" max="9479" width="6.21875" style="3" customWidth="1" collapsed="1"/>
    <col min="9480" max="9480" width="6.77734375" style="3" customWidth="1" collapsed="1"/>
    <col min="9481" max="9481" width="6.21875" style="3" customWidth="1" collapsed="1"/>
    <col min="9482" max="9482" width="10.21875" style="3" customWidth="1" collapsed="1"/>
    <col min="9483" max="9483" width="6.21875" style="3" customWidth="1" collapsed="1"/>
    <col min="9484" max="9484" width="6.77734375" style="3" customWidth="1" collapsed="1"/>
    <col min="9485" max="9485" width="6.21875" style="3" customWidth="1" collapsed="1"/>
    <col min="9486" max="9486" width="12" style="3" customWidth="1" collapsed="1"/>
    <col min="9487" max="9487" width="6.21875" style="3" customWidth="1" collapsed="1"/>
    <col min="9488" max="9488" width="7.109375" style="3" customWidth="1" collapsed="1"/>
    <col min="9489" max="9489" width="6.21875" style="3" customWidth="1" collapsed="1"/>
    <col min="9490" max="9490" width="13" style="3" customWidth="1" collapsed="1"/>
    <col min="9491" max="9491" width="6.21875" style="3" customWidth="1" collapsed="1"/>
    <col min="9492" max="9492" width="8.33203125" style="3" customWidth="1" collapsed="1"/>
    <col min="9493" max="9493" width="6.21875" style="3" customWidth="1" collapsed="1"/>
    <col min="9494" max="9494" width="15.44140625" style="3" customWidth="1" collapsed="1"/>
    <col min="9495" max="9495" width="6.21875" style="3" customWidth="1" collapsed="1"/>
    <col min="9496" max="9496" width="1.6640625" style="3" customWidth="1" collapsed="1"/>
    <col min="9497" max="9728" width="9" style="3" collapsed="1"/>
    <col min="9729" max="9730" width="2.77734375" style="3" customWidth="1" collapsed="1"/>
    <col min="9731" max="9731" width="7.33203125" style="3" customWidth="1" collapsed="1"/>
    <col min="9732" max="9732" width="6.77734375" style="3" customWidth="1" collapsed="1"/>
    <col min="9733" max="9733" width="6.21875" style="3" customWidth="1" collapsed="1"/>
    <col min="9734" max="9734" width="10.77734375" style="3" customWidth="1" collapsed="1"/>
    <col min="9735" max="9735" width="6.21875" style="3" customWidth="1" collapsed="1"/>
    <col min="9736" max="9736" width="6.77734375" style="3" customWidth="1" collapsed="1"/>
    <col min="9737" max="9737" width="6.21875" style="3" customWidth="1" collapsed="1"/>
    <col min="9738" max="9738" width="10.21875" style="3" customWidth="1" collapsed="1"/>
    <col min="9739" max="9739" width="6.21875" style="3" customWidth="1" collapsed="1"/>
    <col min="9740" max="9740" width="6.77734375" style="3" customWidth="1" collapsed="1"/>
    <col min="9741" max="9741" width="6.21875" style="3" customWidth="1" collapsed="1"/>
    <col min="9742" max="9742" width="12" style="3" customWidth="1" collapsed="1"/>
    <col min="9743" max="9743" width="6.21875" style="3" customWidth="1" collapsed="1"/>
    <col min="9744" max="9744" width="7.109375" style="3" customWidth="1" collapsed="1"/>
    <col min="9745" max="9745" width="6.21875" style="3" customWidth="1" collapsed="1"/>
    <col min="9746" max="9746" width="13" style="3" customWidth="1" collapsed="1"/>
    <col min="9747" max="9747" width="6.21875" style="3" customWidth="1" collapsed="1"/>
    <col min="9748" max="9748" width="8.33203125" style="3" customWidth="1" collapsed="1"/>
    <col min="9749" max="9749" width="6.21875" style="3" customWidth="1" collapsed="1"/>
    <col min="9750" max="9750" width="15.44140625" style="3" customWidth="1" collapsed="1"/>
    <col min="9751" max="9751" width="6.21875" style="3" customWidth="1" collapsed="1"/>
    <col min="9752" max="9752" width="1.6640625" style="3" customWidth="1" collapsed="1"/>
    <col min="9753" max="9984" width="9" style="3" collapsed="1"/>
    <col min="9985" max="9986" width="2.77734375" style="3" customWidth="1" collapsed="1"/>
    <col min="9987" max="9987" width="7.33203125" style="3" customWidth="1" collapsed="1"/>
    <col min="9988" max="9988" width="6.77734375" style="3" customWidth="1" collapsed="1"/>
    <col min="9989" max="9989" width="6.21875" style="3" customWidth="1" collapsed="1"/>
    <col min="9990" max="9990" width="10.77734375" style="3" customWidth="1" collapsed="1"/>
    <col min="9991" max="9991" width="6.21875" style="3" customWidth="1" collapsed="1"/>
    <col min="9992" max="9992" width="6.77734375" style="3" customWidth="1" collapsed="1"/>
    <col min="9993" max="9993" width="6.21875" style="3" customWidth="1" collapsed="1"/>
    <col min="9994" max="9994" width="10.21875" style="3" customWidth="1" collapsed="1"/>
    <col min="9995" max="9995" width="6.21875" style="3" customWidth="1" collapsed="1"/>
    <col min="9996" max="9996" width="6.77734375" style="3" customWidth="1" collapsed="1"/>
    <col min="9997" max="9997" width="6.21875" style="3" customWidth="1" collapsed="1"/>
    <col min="9998" max="9998" width="12" style="3" customWidth="1" collapsed="1"/>
    <col min="9999" max="9999" width="6.21875" style="3" customWidth="1" collapsed="1"/>
    <col min="10000" max="10000" width="7.109375" style="3" customWidth="1" collapsed="1"/>
    <col min="10001" max="10001" width="6.21875" style="3" customWidth="1" collapsed="1"/>
    <col min="10002" max="10002" width="13" style="3" customWidth="1" collapsed="1"/>
    <col min="10003" max="10003" width="6.21875" style="3" customWidth="1" collapsed="1"/>
    <col min="10004" max="10004" width="8.33203125" style="3" customWidth="1" collapsed="1"/>
    <col min="10005" max="10005" width="6.21875" style="3" customWidth="1" collapsed="1"/>
    <col min="10006" max="10006" width="15.44140625" style="3" customWidth="1" collapsed="1"/>
    <col min="10007" max="10007" width="6.21875" style="3" customWidth="1" collapsed="1"/>
    <col min="10008" max="10008" width="1.6640625" style="3" customWidth="1" collapsed="1"/>
    <col min="10009" max="10240" width="9" style="3" collapsed="1"/>
    <col min="10241" max="10242" width="2.77734375" style="3" customWidth="1" collapsed="1"/>
    <col min="10243" max="10243" width="7.33203125" style="3" customWidth="1" collapsed="1"/>
    <col min="10244" max="10244" width="6.77734375" style="3" customWidth="1" collapsed="1"/>
    <col min="10245" max="10245" width="6.21875" style="3" customWidth="1" collapsed="1"/>
    <col min="10246" max="10246" width="10.77734375" style="3" customWidth="1" collapsed="1"/>
    <col min="10247" max="10247" width="6.21875" style="3" customWidth="1" collapsed="1"/>
    <col min="10248" max="10248" width="6.77734375" style="3" customWidth="1" collapsed="1"/>
    <col min="10249" max="10249" width="6.21875" style="3" customWidth="1" collapsed="1"/>
    <col min="10250" max="10250" width="10.21875" style="3" customWidth="1" collapsed="1"/>
    <col min="10251" max="10251" width="6.21875" style="3" customWidth="1" collapsed="1"/>
    <col min="10252" max="10252" width="6.77734375" style="3" customWidth="1" collapsed="1"/>
    <col min="10253" max="10253" width="6.21875" style="3" customWidth="1" collapsed="1"/>
    <col min="10254" max="10254" width="12" style="3" customWidth="1" collapsed="1"/>
    <col min="10255" max="10255" width="6.21875" style="3" customWidth="1" collapsed="1"/>
    <col min="10256" max="10256" width="7.109375" style="3" customWidth="1" collapsed="1"/>
    <col min="10257" max="10257" width="6.21875" style="3" customWidth="1" collapsed="1"/>
    <col min="10258" max="10258" width="13" style="3" customWidth="1" collapsed="1"/>
    <col min="10259" max="10259" width="6.21875" style="3" customWidth="1" collapsed="1"/>
    <col min="10260" max="10260" width="8.33203125" style="3" customWidth="1" collapsed="1"/>
    <col min="10261" max="10261" width="6.21875" style="3" customWidth="1" collapsed="1"/>
    <col min="10262" max="10262" width="15.44140625" style="3" customWidth="1" collapsed="1"/>
    <col min="10263" max="10263" width="6.21875" style="3" customWidth="1" collapsed="1"/>
    <col min="10264" max="10264" width="1.6640625" style="3" customWidth="1" collapsed="1"/>
    <col min="10265" max="10496" width="9" style="3" collapsed="1"/>
    <col min="10497" max="10498" width="2.77734375" style="3" customWidth="1" collapsed="1"/>
    <col min="10499" max="10499" width="7.33203125" style="3" customWidth="1" collapsed="1"/>
    <col min="10500" max="10500" width="6.77734375" style="3" customWidth="1" collapsed="1"/>
    <col min="10501" max="10501" width="6.21875" style="3" customWidth="1" collapsed="1"/>
    <col min="10502" max="10502" width="10.77734375" style="3" customWidth="1" collapsed="1"/>
    <col min="10503" max="10503" width="6.21875" style="3" customWidth="1" collapsed="1"/>
    <col min="10504" max="10504" width="6.77734375" style="3" customWidth="1" collapsed="1"/>
    <col min="10505" max="10505" width="6.21875" style="3" customWidth="1" collapsed="1"/>
    <col min="10506" max="10506" width="10.21875" style="3" customWidth="1" collapsed="1"/>
    <col min="10507" max="10507" width="6.21875" style="3" customWidth="1" collapsed="1"/>
    <col min="10508" max="10508" width="6.77734375" style="3" customWidth="1" collapsed="1"/>
    <col min="10509" max="10509" width="6.21875" style="3" customWidth="1" collapsed="1"/>
    <col min="10510" max="10510" width="12" style="3" customWidth="1" collapsed="1"/>
    <col min="10511" max="10511" width="6.21875" style="3" customWidth="1" collapsed="1"/>
    <col min="10512" max="10512" width="7.109375" style="3" customWidth="1" collapsed="1"/>
    <col min="10513" max="10513" width="6.21875" style="3" customWidth="1" collapsed="1"/>
    <col min="10514" max="10514" width="13" style="3" customWidth="1" collapsed="1"/>
    <col min="10515" max="10515" width="6.21875" style="3" customWidth="1" collapsed="1"/>
    <col min="10516" max="10516" width="8.33203125" style="3" customWidth="1" collapsed="1"/>
    <col min="10517" max="10517" width="6.21875" style="3" customWidth="1" collapsed="1"/>
    <col min="10518" max="10518" width="15.44140625" style="3" customWidth="1" collapsed="1"/>
    <col min="10519" max="10519" width="6.21875" style="3" customWidth="1" collapsed="1"/>
    <col min="10520" max="10520" width="1.6640625" style="3" customWidth="1" collapsed="1"/>
    <col min="10521" max="10752" width="9" style="3" collapsed="1"/>
    <col min="10753" max="10754" width="2.77734375" style="3" customWidth="1" collapsed="1"/>
    <col min="10755" max="10755" width="7.33203125" style="3" customWidth="1" collapsed="1"/>
    <col min="10756" max="10756" width="6.77734375" style="3" customWidth="1" collapsed="1"/>
    <col min="10757" max="10757" width="6.21875" style="3" customWidth="1" collapsed="1"/>
    <col min="10758" max="10758" width="10.77734375" style="3" customWidth="1" collapsed="1"/>
    <col min="10759" max="10759" width="6.21875" style="3" customWidth="1" collapsed="1"/>
    <col min="10760" max="10760" width="6.77734375" style="3" customWidth="1" collapsed="1"/>
    <col min="10761" max="10761" width="6.21875" style="3" customWidth="1" collapsed="1"/>
    <col min="10762" max="10762" width="10.21875" style="3" customWidth="1" collapsed="1"/>
    <col min="10763" max="10763" width="6.21875" style="3" customWidth="1" collapsed="1"/>
    <col min="10764" max="10764" width="6.77734375" style="3" customWidth="1" collapsed="1"/>
    <col min="10765" max="10765" width="6.21875" style="3" customWidth="1" collapsed="1"/>
    <col min="10766" max="10766" width="12" style="3" customWidth="1" collapsed="1"/>
    <col min="10767" max="10767" width="6.21875" style="3" customWidth="1" collapsed="1"/>
    <col min="10768" max="10768" width="7.109375" style="3" customWidth="1" collapsed="1"/>
    <col min="10769" max="10769" width="6.21875" style="3" customWidth="1" collapsed="1"/>
    <col min="10770" max="10770" width="13" style="3" customWidth="1" collapsed="1"/>
    <col min="10771" max="10771" width="6.21875" style="3" customWidth="1" collapsed="1"/>
    <col min="10772" max="10772" width="8.33203125" style="3" customWidth="1" collapsed="1"/>
    <col min="10773" max="10773" width="6.21875" style="3" customWidth="1" collapsed="1"/>
    <col min="10774" max="10774" width="15.44140625" style="3" customWidth="1" collapsed="1"/>
    <col min="10775" max="10775" width="6.21875" style="3" customWidth="1" collapsed="1"/>
    <col min="10776" max="10776" width="1.6640625" style="3" customWidth="1" collapsed="1"/>
    <col min="10777" max="11008" width="9" style="3" collapsed="1"/>
    <col min="11009" max="11010" width="2.77734375" style="3" customWidth="1" collapsed="1"/>
    <col min="11011" max="11011" width="7.33203125" style="3" customWidth="1" collapsed="1"/>
    <col min="11012" max="11012" width="6.77734375" style="3" customWidth="1" collapsed="1"/>
    <col min="11013" max="11013" width="6.21875" style="3" customWidth="1" collapsed="1"/>
    <col min="11014" max="11014" width="10.77734375" style="3" customWidth="1" collapsed="1"/>
    <col min="11015" max="11015" width="6.21875" style="3" customWidth="1" collapsed="1"/>
    <col min="11016" max="11016" width="6.77734375" style="3" customWidth="1" collapsed="1"/>
    <col min="11017" max="11017" width="6.21875" style="3" customWidth="1" collapsed="1"/>
    <col min="11018" max="11018" width="10.21875" style="3" customWidth="1" collapsed="1"/>
    <col min="11019" max="11019" width="6.21875" style="3" customWidth="1" collapsed="1"/>
    <col min="11020" max="11020" width="6.77734375" style="3" customWidth="1" collapsed="1"/>
    <col min="11021" max="11021" width="6.21875" style="3" customWidth="1" collapsed="1"/>
    <col min="11022" max="11022" width="12" style="3" customWidth="1" collapsed="1"/>
    <col min="11023" max="11023" width="6.21875" style="3" customWidth="1" collapsed="1"/>
    <col min="11024" max="11024" width="7.109375" style="3" customWidth="1" collapsed="1"/>
    <col min="11025" max="11025" width="6.21875" style="3" customWidth="1" collapsed="1"/>
    <col min="11026" max="11026" width="13" style="3" customWidth="1" collapsed="1"/>
    <col min="11027" max="11027" width="6.21875" style="3" customWidth="1" collapsed="1"/>
    <col min="11028" max="11028" width="8.33203125" style="3" customWidth="1" collapsed="1"/>
    <col min="11029" max="11029" width="6.21875" style="3" customWidth="1" collapsed="1"/>
    <col min="11030" max="11030" width="15.44140625" style="3" customWidth="1" collapsed="1"/>
    <col min="11031" max="11031" width="6.21875" style="3" customWidth="1" collapsed="1"/>
    <col min="11032" max="11032" width="1.6640625" style="3" customWidth="1" collapsed="1"/>
    <col min="11033" max="11264" width="9" style="3" collapsed="1"/>
    <col min="11265" max="11266" width="2.77734375" style="3" customWidth="1" collapsed="1"/>
    <col min="11267" max="11267" width="7.33203125" style="3" customWidth="1" collapsed="1"/>
    <col min="11268" max="11268" width="6.77734375" style="3" customWidth="1" collapsed="1"/>
    <col min="11269" max="11269" width="6.21875" style="3" customWidth="1" collapsed="1"/>
    <col min="11270" max="11270" width="10.77734375" style="3" customWidth="1" collapsed="1"/>
    <col min="11271" max="11271" width="6.21875" style="3" customWidth="1" collapsed="1"/>
    <col min="11272" max="11272" width="6.77734375" style="3" customWidth="1" collapsed="1"/>
    <col min="11273" max="11273" width="6.21875" style="3" customWidth="1" collapsed="1"/>
    <col min="11274" max="11274" width="10.21875" style="3" customWidth="1" collapsed="1"/>
    <col min="11275" max="11275" width="6.21875" style="3" customWidth="1" collapsed="1"/>
    <col min="11276" max="11276" width="6.77734375" style="3" customWidth="1" collapsed="1"/>
    <col min="11277" max="11277" width="6.21875" style="3" customWidth="1" collapsed="1"/>
    <col min="11278" max="11278" width="12" style="3" customWidth="1" collapsed="1"/>
    <col min="11279" max="11279" width="6.21875" style="3" customWidth="1" collapsed="1"/>
    <col min="11280" max="11280" width="7.109375" style="3" customWidth="1" collapsed="1"/>
    <col min="11281" max="11281" width="6.21875" style="3" customWidth="1" collapsed="1"/>
    <col min="11282" max="11282" width="13" style="3" customWidth="1" collapsed="1"/>
    <col min="11283" max="11283" width="6.21875" style="3" customWidth="1" collapsed="1"/>
    <col min="11284" max="11284" width="8.33203125" style="3" customWidth="1" collapsed="1"/>
    <col min="11285" max="11285" width="6.21875" style="3" customWidth="1" collapsed="1"/>
    <col min="11286" max="11286" width="15.44140625" style="3" customWidth="1" collapsed="1"/>
    <col min="11287" max="11287" width="6.21875" style="3" customWidth="1" collapsed="1"/>
    <col min="11288" max="11288" width="1.6640625" style="3" customWidth="1" collapsed="1"/>
    <col min="11289" max="11520" width="9" style="3" collapsed="1"/>
    <col min="11521" max="11522" width="2.77734375" style="3" customWidth="1" collapsed="1"/>
    <col min="11523" max="11523" width="7.33203125" style="3" customWidth="1" collapsed="1"/>
    <col min="11524" max="11524" width="6.77734375" style="3" customWidth="1" collapsed="1"/>
    <col min="11525" max="11525" width="6.21875" style="3" customWidth="1" collapsed="1"/>
    <col min="11526" max="11526" width="10.77734375" style="3" customWidth="1" collapsed="1"/>
    <col min="11527" max="11527" width="6.21875" style="3" customWidth="1" collapsed="1"/>
    <col min="11528" max="11528" width="6.77734375" style="3" customWidth="1" collapsed="1"/>
    <col min="11529" max="11529" width="6.21875" style="3" customWidth="1" collapsed="1"/>
    <col min="11530" max="11530" width="10.21875" style="3" customWidth="1" collapsed="1"/>
    <col min="11531" max="11531" width="6.21875" style="3" customWidth="1" collapsed="1"/>
    <col min="11532" max="11532" width="6.77734375" style="3" customWidth="1" collapsed="1"/>
    <col min="11533" max="11533" width="6.21875" style="3" customWidth="1" collapsed="1"/>
    <col min="11534" max="11534" width="12" style="3" customWidth="1" collapsed="1"/>
    <col min="11535" max="11535" width="6.21875" style="3" customWidth="1" collapsed="1"/>
    <col min="11536" max="11536" width="7.109375" style="3" customWidth="1" collapsed="1"/>
    <col min="11537" max="11537" width="6.21875" style="3" customWidth="1" collapsed="1"/>
    <col min="11538" max="11538" width="13" style="3" customWidth="1" collapsed="1"/>
    <col min="11539" max="11539" width="6.21875" style="3" customWidth="1" collapsed="1"/>
    <col min="11540" max="11540" width="8.33203125" style="3" customWidth="1" collapsed="1"/>
    <col min="11541" max="11541" width="6.21875" style="3" customWidth="1" collapsed="1"/>
    <col min="11542" max="11542" width="15.44140625" style="3" customWidth="1" collapsed="1"/>
    <col min="11543" max="11543" width="6.21875" style="3" customWidth="1" collapsed="1"/>
    <col min="11544" max="11544" width="1.6640625" style="3" customWidth="1" collapsed="1"/>
    <col min="11545" max="11776" width="9" style="3" collapsed="1"/>
    <col min="11777" max="11778" width="2.77734375" style="3" customWidth="1" collapsed="1"/>
    <col min="11779" max="11779" width="7.33203125" style="3" customWidth="1" collapsed="1"/>
    <col min="11780" max="11780" width="6.77734375" style="3" customWidth="1" collapsed="1"/>
    <col min="11781" max="11781" width="6.21875" style="3" customWidth="1" collapsed="1"/>
    <col min="11782" max="11782" width="10.77734375" style="3" customWidth="1" collapsed="1"/>
    <col min="11783" max="11783" width="6.21875" style="3" customWidth="1" collapsed="1"/>
    <col min="11784" max="11784" width="6.77734375" style="3" customWidth="1" collapsed="1"/>
    <col min="11785" max="11785" width="6.21875" style="3" customWidth="1" collapsed="1"/>
    <col min="11786" max="11786" width="10.21875" style="3" customWidth="1" collapsed="1"/>
    <col min="11787" max="11787" width="6.21875" style="3" customWidth="1" collapsed="1"/>
    <col min="11788" max="11788" width="6.77734375" style="3" customWidth="1" collapsed="1"/>
    <col min="11789" max="11789" width="6.21875" style="3" customWidth="1" collapsed="1"/>
    <col min="11790" max="11790" width="12" style="3" customWidth="1" collapsed="1"/>
    <col min="11791" max="11791" width="6.21875" style="3" customWidth="1" collapsed="1"/>
    <col min="11792" max="11792" width="7.109375" style="3" customWidth="1" collapsed="1"/>
    <col min="11793" max="11793" width="6.21875" style="3" customWidth="1" collapsed="1"/>
    <col min="11794" max="11794" width="13" style="3" customWidth="1" collapsed="1"/>
    <col min="11795" max="11795" width="6.21875" style="3" customWidth="1" collapsed="1"/>
    <col min="11796" max="11796" width="8.33203125" style="3" customWidth="1" collapsed="1"/>
    <col min="11797" max="11797" width="6.21875" style="3" customWidth="1" collapsed="1"/>
    <col min="11798" max="11798" width="15.44140625" style="3" customWidth="1" collapsed="1"/>
    <col min="11799" max="11799" width="6.21875" style="3" customWidth="1" collapsed="1"/>
    <col min="11800" max="11800" width="1.6640625" style="3" customWidth="1" collapsed="1"/>
    <col min="11801" max="12032" width="9" style="3" collapsed="1"/>
    <col min="12033" max="12034" width="2.77734375" style="3" customWidth="1" collapsed="1"/>
    <col min="12035" max="12035" width="7.33203125" style="3" customWidth="1" collapsed="1"/>
    <col min="12036" max="12036" width="6.77734375" style="3" customWidth="1" collapsed="1"/>
    <col min="12037" max="12037" width="6.21875" style="3" customWidth="1" collapsed="1"/>
    <col min="12038" max="12038" width="10.77734375" style="3" customWidth="1" collapsed="1"/>
    <col min="12039" max="12039" width="6.21875" style="3" customWidth="1" collapsed="1"/>
    <col min="12040" max="12040" width="6.77734375" style="3" customWidth="1" collapsed="1"/>
    <col min="12041" max="12041" width="6.21875" style="3" customWidth="1" collapsed="1"/>
    <col min="12042" max="12042" width="10.21875" style="3" customWidth="1" collapsed="1"/>
    <col min="12043" max="12043" width="6.21875" style="3" customWidth="1" collapsed="1"/>
    <col min="12044" max="12044" width="6.77734375" style="3" customWidth="1" collapsed="1"/>
    <col min="12045" max="12045" width="6.21875" style="3" customWidth="1" collapsed="1"/>
    <col min="12046" max="12046" width="12" style="3" customWidth="1" collapsed="1"/>
    <col min="12047" max="12047" width="6.21875" style="3" customWidth="1" collapsed="1"/>
    <col min="12048" max="12048" width="7.109375" style="3" customWidth="1" collapsed="1"/>
    <col min="12049" max="12049" width="6.21875" style="3" customWidth="1" collapsed="1"/>
    <col min="12050" max="12050" width="13" style="3" customWidth="1" collapsed="1"/>
    <col min="12051" max="12051" width="6.21875" style="3" customWidth="1" collapsed="1"/>
    <col min="12052" max="12052" width="8.33203125" style="3" customWidth="1" collapsed="1"/>
    <col min="12053" max="12053" width="6.21875" style="3" customWidth="1" collapsed="1"/>
    <col min="12054" max="12054" width="15.44140625" style="3" customWidth="1" collapsed="1"/>
    <col min="12055" max="12055" width="6.21875" style="3" customWidth="1" collapsed="1"/>
    <col min="12056" max="12056" width="1.6640625" style="3" customWidth="1" collapsed="1"/>
    <col min="12057" max="12288" width="9" style="3" collapsed="1"/>
    <col min="12289" max="12290" width="2.77734375" style="3" customWidth="1" collapsed="1"/>
    <col min="12291" max="12291" width="7.33203125" style="3" customWidth="1" collapsed="1"/>
    <col min="12292" max="12292" width="6.77734375" style="3" customWidth="1" collapsed="1"/>
    <col min="12293" max="12293" width="6.21875" style="3" customWidth="1" collapsed="1"/>
    <col min="12294" max="12294" width="10.77734375" style="3" customWidth="1" collapsed="1"/>
    <col min="12295" max="12295" width="6.21875" style="3" customWidth="1" collapsed="1"/>
    <col min="12296" max="12296" width="6.77734375" style="3" customWidth="1" collapsed="1"/>
    <col min="12297" max="12297" width="6.21875" style="3" customWidth="1" collapsed="1"/>
    <col min="12298" max="12298" width="10.21875" style="3" customWidth="1" collapsed="1"/>
    <col min="12299" max="12299" width="6.21875" style="3" customWidth="1" collapsed="1"/>
    <col min="12300" max="12300" width="6.77734375" style="3" customWidth="1" collapsed="1"/>
    <col min="12301" max="12301" width="6.21875" style="3" customWidth="1" collapsed="1"/>
    <col min="12302" max="12302" width="12" style="3" customWidth="1" collapsed="1"/>
    <col min="12303" max="12303" width="6.21875" style="3" customWidth="1" collapsed="1"/>
    <col min="12304" max="12304" width="7.109375" style="3" customWidth="1" collapsed="1"/>
    <col min="12305" max="12305" width="6.21875" style="3" customWidth="1" collapsed="1"/>
    <col min="12306" max="12306" width="13" style="3" customWidth="1" collapsed="1"/>
    <col min="12307" max="12307" width="6.21875" style="3" customWidth="1" collapsed="1"/>
    <col min="12308" max="12308" width="8.33203125" style="3" customWidth="1" collapsed="1"/>
    <col min="12309" max="12309" width="6.21875" style="3" customWidth="1" collapsed="1"/>
    <col min="12310" max="12310" width="15.44140625" style="3" customWidth="1" collapsed="1"/>
    <col min="12311" max="12311" width="6.21875" style="3" customWidth="1" collapsed="1"/>
    <col min="12312" max="12312" width="1.6640625" style="3" customWidth="1" collapsed="1"/>
    <col min="12313" max="12544" width="9" style="3" collapsed="1"/>
    <col min="12545" max="12546" width="2.77734375" style="3" customWidth="1" collapsed="1"/>
    <col min="12547" max="12547" width="7.33203125" style="3" customWidth="1" collapsed="1"/>
    <col min="12548" max="12548" width="6.77734375" style="3" customWidth="1" collapsed="1"/>
    <col min="12549" max="12549" width="6.21875" style="3" customWidth="1" collapsed="1"/>
    <col min="12550" max="12550" width="10.77734375" style="3" customWidth="1" collapsed="1"/>
    <col min="12551" max="12551" width="6.21875" style="3" customWidth="1" collapsed="1"/>
    <col min="12552" max="12552" width="6.77734375" style="3" customWidth="1" collapsed="1"/>
    <col min="12553" max="12553" width="6.21875" style="3" customWidth="1" collapsed="1"/>
    <col min="12554" max="12554" width="10.21875" style="3" customWidth="1" collapsed="1"/>
    <col min="12555" max="12555" width="6.21875" style="3" customWidth="1" collapsed="1"/>
    <col min="12556" max="12556" width="6.77734375" style="3" customWidth="1" collapsed="1"/>
    <col min="12557" max="12557" width="6.21875" style="3" customWidth="1" collapsed="1"/>
    <col min="12558" max="12558" width="12" style="3" customWidth="1" collapsed="1"/>
    <col min="12559" max="12559" width="6.21875" style="3" customWidth="1" collapsed="1"/>
    <col min="12560" max="12560" width="7.109375" style="3" customWidth="1" collapsed="1"/>
    <col min="12561" max="12561" width="6.21875" style="3" customWidth="1" collapsed="1"/>
    <col min="12562" max="12562" width="13" style="3" customWidth="1" collapsed="1"/>
    <col min="12563" max="12563" width="6.21875" style="3" customWidth="1" collapsed="1"/>
    <col min="12564" max="12564" width="8.33203125" style="3" customWidth="1" collapsed="1"/>
    <col min="12565" max="12565" width="6.21875" style="3" customWidth="1" collapsed="1"/>
    <col min="12566" max="12566" width="15.44140625" style="3" customWidth="1" collapsed="1"/>
    <col min="12567" max="12567" width="6.21875" style="3" customWidth="1" collapsed="1"/>
    <col min="12568" max="12568" width="1.6640625" style="3" customWidth="1" collapsed="1"/>
    <col min="12569" max="12800" width="9" style="3" collapsed="1"/>
    <col min="12801" max="12802" width="2.77734375" style="3" customWidth="1" collapsed="1"/>
    <col min="12803" max="12803" width="7.33203125" style="3" customWidth="1" collapsed="1"/>
    <col min="12804" max="12804" width="6.77734375" style="3" customWidth="1" collapsed="1"/>
    <col min="12805" max="12805" width="6.21875" style="3" customWidth="1" collapsed="1"/>
    <col min="12806" max="12806" width="10.77734375" style="3" customWidth="1" collapsed="1"/>
    <col min="12807" max="12807" width="6.21875" style="3" customWidth="1" collapsed="1"/>
    <col min="12808" max="12808" width="6.77734375" style="3" customWidth="1" collapsed="1"/>
    <col min="12809" max="12809" width="6.21875" style="3" customWidth="1" collapsed="1"/>
    <col min="12810" max="12810" width="10.21875" style="3" customWidth="1" collapsed="1"/>
    <col min="12811" max="12811" width="6.21875" style="3" customWidth="1" collapsed="1"/>
    <col min="12812" max="12812" width="6.77734375" style="3" customWidth="1" collapsed="1"/>
    <col min="12813" max="12813" width="6.21875" style="3" customWidth="1" collapsed="1"/>
    <col min="12814" max="12814" width="12" style="3" customWidth="1" collapsed="1"/>
    <col min="12815" max="12815" width="6.21875" style="3" customWidth="1" collapsed="1"/>
    <col min="12816" max="12816" width="7.109375" style="3" customWidth="1" collapsed="1"/>
    <col min="12817" max="12817" width="6.21875" style="3" customWidth="1" collapsed="1"/>
    <col min="12818" max="12818" width="13" style="3" customWidth="1" collapsed="1"/>
    <col min="12819" max="12819" width="6.21875" style="3" customWidth="1" collapsed="1"/>
    <col min="12820" max="12820" width="8.33203125" style="3" customWidth="1" collapsed="1"/>
    <col min="12821" max="12821" width="6.21875" style="3" customWidth="1" collapsed="1"/>
    <col min="12822" max="12822" width="15.44140625" style="3" customWidth="1" collapsed="1"/>
    <col min="12823" max="12823" width="6.21875" style="3" customWidth="1" collapsed="1"/>
    <col min="12824" max="12824" width="1.6640625" style="3" customWidth="1" collapsed="1"/>
    <col min="12825" max="13056" width="9" style="3" collapsed="1"/>
    <col min="13057" max="13058" width="2.77734375" style="3" customWidth="1" collapsed="1"/>
    <col min="13059" max="13059" width="7.33203125" style="3" customWidth="1" collapsed="1"/>
    <col min="13060" max="13060" width="6.77734375" style="3" customWidth="1" collapsed="1"/>
    <col min="13061" max="13061" width="6.21875" style="3" customWidth="1" collapsed="1"/>
    <col min="13062" max="13062" width="10.77734375" style="3" customWidth="1" collapsed="1"/>
    <col min="13063" max="13063" width="6.21875" style="3" customWidth="1" collapsed="1"/>
    <col min="13064" max="13064" width="6.77734375" style="3" customWidth="1" collapsed="1"/>
    <col min="13065" max="13065" width="6.21875" style="3" customWidth="1" collapsed="1"/>
    <col min="13066" max="13066" width="10.21875" style="3" customWidth="1" collapsed="1"/>
    <col min="13067" max="13067" width="6.21875" style="3" customWidth="1" collapsed="1"/>
    <col min="13068" max="13068" width="6.77734375" style="3" customWidth="1" collapsed="1"/>
    <col min="13069" max="13069" width="6.21875" style="3" customWidth="1" collapsed="1"/>
    <col min="13070" max="13070" width="12" style="3" customWidth="1" collapsed="1"/>
    <col min="13071" max="13071" width="6.21875" style="3" customWidth="1" collapsed="1"/>
    <col min="13072" max="13072" width="7.109375" style="3" customWidth="1" collapsed="1"/>
    <col min="13073" max="13073" width="6.21875" style="3" customWidth="1" collapsed="1"/>
    <col min="13074" max="13074" width="13" style="3" customWidth="1" collapsed="1"/>
    <col min="13075" max="13075" width="6.21875" style="3" customWidth="1" collapsed="1"/>
    <col min="13076" max="13076" width="8.33203125" style="3" customWidth="1" collapsed="1"/>
    <col min="13077" max="13077" width="6.21875" style="3" customWidth="1" collapsed="1"/>
    <col min="13078" max="13078" width="15.44140625" style="3" customWidth="1" collapsed="1"/>
    <col min="13079" max="13079" width="6.21875" style="3" customWidth="1" collapsed="1"/>
    <col min="13080" max="13080" width="1.6640625" style="3" customWidth="1" collapsed="1"/>
    <col min="13081" max="13312" width="9" style="3" collapsed="1"/>
    <col min="13313" max="13314" width="2.77734375" style="3" customWidth="1" collapsed="1"/>
    <col min="13315" max="13315" width="7.33203125" style="3" customWidth="1" collapsed="1"/>
    <col min="13316" max="13316" width="6.77734375" style="3" customWidth="1" collapsed="1"/>
    <col min="13317" max="13317" width="6.21875" style="3" customWidth="1" collapsed="1"/>
    <col min="13318" max="13318" width="10.77734375" style="3" customWidth="1" collapsed="1"/>
    <col min="13319" max="13319" width="6.21875" style="3" customWidth="1" collapsed="1"/>
    <col min="13320" max="13320" width="6.77734375" style="3" customWidth="1" collapsed="1"/>
    <col min="13321" max="13321" width="6.21875" style="3" customWidth="1" collapsed="1"/>
    <col min="13322" max="13322" width="10.21875" style="3" customWidth="1" collapsed="1"/>
    <col min="13323" max="13323" width="6.21875" style="3" customWidth="1" collapsed="1"/>
    <col min="13324" max="13324" width="6.77734375" style="3" customWidth="1" collapsed="1"/>
    <col min="13325" max="13325" width="6.21875" style="3" customWidth="1" collapsed="1"/>
    <col min="13326" max="13326" width="12" style="3" customWidth="1" collapsed="1"/>
    <col min="13327" max="13327" width="6.21875" style="3" customWidth="1" collapsed="1"/>
    <col min="13328" max="13328" width="7.109375" style="3" customWidth="1" collapsed="1"/>
    <col min="13329" max="13329" width="6.21875" style="3" customWidth="1" collapsed="1"/>
    <col min="13330" max="13330" width="13" style="3" customWidth="1" collapsed="1"/>
    <col min="13331" max="13331" width="6.21875" style="3" customWidth="1" collapsed="1"/>
    <col min="13332" max="13332" width="8.33203125" style="3" customWidth="1" collapsed="1"/>
    <col min="13333" max="13333" width="6.21875" style="3" customWidth="1" collapsed="1"/>
    <col min="13334" max="13334" width="15.44140625" style="3" customWidth="1" collapsed="1"/>
    <col min="13335" max="13335" width="6.21875" style="3" customWidth="1" collapsed="1"/>
    <col min="13336" max="13336" width="1.6640625" style="3" customWidth="1" collapsed="1"/>
    <col min="13337" max="13568" width="9" style="3" collapsed="1"/>
    <col min="13569" max="13570" width="2.77734375" style="3" customWidth="1" collapsed="1"/>
    <col min="13571" max="13571" width="7.33203125" style="3" customWidth="1" collapsed="1"/>
    <col min="13572" max="13572" width="6.77734375" style="3" customWidth="1" collapsed="1"/>
    <col min="13573" max="13573" width="6.21875" style="3" customWidth="1" collapsed="1"/>
    <col min="13574" max="13574" width="10.77734375" style="3" customWidth="1" collapsed="1"/>
    <col min="13575" max="13575" width="6.21875" style="3" customWidth="1" collapsed="1"/>
    <col min="13576" max="13576" width="6.77734375" style="3" customWidth="1" collapsed="1"/>
    <col min="13577" max="13577" width="6.21875" style="3" customWidth="1" collapsed="1"/>
    <col min="13578" max="13578" width="10.21875" style="3" customWidth="1" collapsed="1"/>
    <col min="13579" max="13579" width="6.21875" style="3" customWidth="1" collapsed="1"/>
    <col min="13580" max="13580" width="6.77734375" style="3" customWidth="1" collapsed="1"/>
    <col min="13581" max="13581" width="6.21875" style="3" customWidth="1" collapsed="1"/>
    <col min="13582" max="13582" width="12" style="3" customWidth="1" collapsed="1"/>
    <col min="13583" max="13583" width="6.21875" style="3" customWidth="1" collapsed="1"/>
    <col min="13584" max="13584" width="7.109375" style="3" customWidth="1" collapsed="1"/>
    <col min="13585" max="13585" width="6.21875" style="3" customWidth="1" collapsed="1"/>
    <col min="13586" max="13586" width="13" style="3" customWidth="1" collapsed="1"/>
    <col min="13587" max="13587" width="6.21875" style="3" customWidth="1" collapsed="1"/>
    <col min="13588" max="13588" width="8.33203125" style="3" customWidth="1" collapsed="1"/>
    <col min="13589" max="13589" width="6.21875" style="3" customWidth="1" collapsed="1"/>
    <col min="13590" max="13590" width="15.44140625" style="3" customWidth="1" collapsed="1"/>
    <col min="13591" max="13591" width="6.21875" style="3" customWidth="1" collapsed="1"/>
    <col min="13592" max="13592" width="1.6640625" style="3" customWidth="1" collapsed="1"/>
    <col min="13593" max="13824" width="9" style="3" collapsed="1"/>
    <col min="13825" max="13826" width="2.77734375" style="3" customWidth="1" collapsed="1"/>
    <col min="13827" max="13827" width="7.33203125" style="3" customWidth="1" collapsed="1"/>
    <col min="13828" max="13828" width="6.77734375" style="3" customWidth="1" collapsed="1"/>
    <col min="13829" max="13829" width="6.21875" style="3" customWidth="1" collapsed="1"/>
    <col min="13830" max="13830" width="10.77734375" style="3" customWidth="1" collapsed="1"/>
    <col min="13831" max="13831" width="6.21875" style="3" customWidth="1" collapsed="1"/>
    <col min="13832" max="13832" width="6.77734375" style="3" customWidth="1" collapsed="1"/>
    <col min="13833" max="13833" width="6.21875" style="3" customWidth="1" collapsed="1"/>
    <col min="13834" max="13834" width="10.21875" style="3" customWidth="1" collapsed="1"/>
    <col min="13835" max="13835" width="6.21875" style="3" customWidth="1" collapsed="1"/>
    <col min="13836" max="13836" width="6.77734375" style="3" customWidth="1" collapsed="1"/>
    <col min="13837" max="13837" width="6.21875" style="3" customWidth="1" collapsed="1"/>
    <col min="13838" max="13838" width="12" style="3" customWidth="1" collapsed="1"/>
    <col min="13839" max="13839" width="6.21875" style="3" customWidth="1" collapsed="1"/>
    <col min="13840" max="13840" width="7.109375" style="3" customWidth="1" collapsed="1"/>
    <col min="13841" max="13841" width="6.21875" style="3" customWidth="1" collapsed="1"/>
    <col min="13842" max="13842" width="13" style="3" customWidth="1" collapsed="1"/>
    <col min="13843" max="13843" width="6.21875" style="3" customWidth="1" collapsed="1"/>
    <col min="13844" max="13844" width="8.33203125" style="3" customWidth="1" collapsed="1"/>
    <col min="13845" max="13845" width="6.21875" style="3" customWidth="1" collapsed="1"/>
    <col min="13846" max="13846" width="15.44140625" style="3" customWidth="1" collapsed="1"/>
    <col min="13847" max="13847" width="6.21875" style="3" customWidth="1" collapsed="1"/>
    <col min="13848" max="13848" width="1.6640625" style="3" customWidth="1" collapsed="1"/>
    <col min="13849" max="14080" width="9" style="3" collapsed="1"/>
    <col min="14081" max="14082" width="2.77734375" style="3" customWidth="1" collapsed="1"/>
    <col min="14083" max="14083" width="7.33203125" style="3" customWidth="1" collapsed="1"/>
    <col min="14084" max="14084" width="6.77734375" style="3" customWidth="1" collapsed="1"/>
    <col min="14085" max="14085" width="6.21875" style="3" customWidth="1" collapsed="1"/>
    <col min="14086" max="14086" width="10.77734375" style="3" customWidth="1" collapsed="1"/>
    <col min="14087" max="14087" width="6.21875" style="3" customWidth="1" collapsed="1"/>
    <col min="14088" max="14088" width="6.77734375" style="3" customWidth="1" collapsed="1"/>
    <col min="14089" max="14089" width="6.21875" style="3" customWidth="1" collapsed="1"/>
    <col min="14090" max="14090" width="10.21875" style="3" customWidth="1" collapsed="1"/>
    <col min="14091" max="14091" width="6.21875" style="3" customWidth="1" collapsed="1"/>
    <col min="14092" max="14092" width="6.77734375" style="3" customWidth="1" collapsed="1"/>
    <col min="14093" max="14093" width="6.21875" style="3" customWidth="1" collapsed="1"/>
    <col min="14094" max="14094" width="12" style="3" customWidth="1" collapsed="1"/>
    <col min="14095" max="14095" width="6.21875" style="3" customWidth="1" collapsed="1"/>
    <col min="14096" max="14096" width="7.109375" style="3" customWidth="1" collapsed="1"/>
    <col min="14097" max="14097" width="6.21875" style="3" customWidth="1" collapsed="1"/>
    <col min="14098" max="14098" width="13" style="3" customWidth="1" collapsed="1"/>
    <col min="14099" max="14099" width="6.21875" style="3" customWidth="1" collapsed="1"/>
    <col min="14100" max="14100" width="8.33203125" style="3" customWidth="1" collapsed="1"/>
    <col min="14101" max="14101" width="6.21875" style="3" customWidth="1" collapsed="1"/>
    <col min="14102" max="14102" width="15.44140625" style="3" customWidth="1" collapsed="1"/>
    <col min="14103" max="14103" width="6.21875" style="3" customWidth="1" collapsed="1"/>
    <col min="14104" max="14104" width="1.6640625" style="3" customWidth="1" collapsed="1"/>
    <col min="14105" max="14336" width="9" style="3" collapsed="1"/>
    <col min="14337" max="14338" width="2.77734375" style="3" customWidth="1" collapsed="1"/>
    <col min="14339" max="14339" width="7.33203125" style="3" customWidth="1" collapsed="1"/>
    <col min="14340" max="14340" width="6.77734375" style="3" customWidth="1" collapsed="1"/>
    <col min="14341" max="14341" width="6.21875" style="3" customWidth="1" collapsed="1"/>
    <col min="14342" max="14342" width="10.77734375" style="3" customWidth="1" collapsed="1"/>
    <col min="14343" max="14343" width="6.21875" style="3" customWidth="1" collapsed="1"/>
    <col min="14344" max="14344" width="6.77734375" style="3" customWidth="1" collapsed="1"/>
    <col min="14345" max="14345" width="6.21875" style="3" customWidth="1" collapsed="1"/>
    <col min="14346" max="14346" width="10.21875" style="3" customWidth="1" collapsed="1"/>
    <col min="14347" max="14347" width="6.21875" style="3" customWidth="1" collapsed="1"/>
    <col min="14348" max="14348" width="6.77734375" style="3" customWidth="1" collapsed="1"/>
    <col min="14349" max="14349" width="6.21875" style="3" customWidth="1" collapsed="1"/>
    <col min="14350" max="14350" width="12" style="3" customWidth="1" collapsed="1"/>
    <col min="14351" max="14351" width="6.21875" style="3" customWidth="1" collapsed="1"/>
    <col min="14352" max="14352" width="7.109375" style="3" customWidth="1" collapsed="1"/>
    <col min="14353" max="14353" width="6.21875" style="3" customWidth="1" collapsed="1"/>
    <col min="14354" max="14354" width="13" style="3" customWidth="1" collapsed="1"/>
    <col min="14355" max="14355" width="6.21875" style="3" customWidth="1" collapsed="1"/>
    <col min="14356" max="14356" width="8.33203125" style="3" customWidth="1" collapsed="1"/>
    <col min="14357" max="14357" width="6.21875" style="3" customWidth="1" collapsed="1"/>
    <col min="14358" max="14358" width="15.44140625" style="3" customWidth="1" collapsed="1"/>
    <col min="14359" max="14359" width="6.21875" style="3" customWidth="1" collapsed="1"/>
    <col min="14360" max="14360" width="1.6640625" style="3" customWidth="1" collapsed="1"/>
    <col min="14361" max="14592" width="9" style="3" collapsed="1"/>
    <col min="14593" max="14594" width="2.77734375" style="3" customWidth="1" collapsed="1"/>
    <col min="14595" max="14595" width="7.33203125" style="3" customWidth="1" collapsed="1"/>
    <col min="14596" max="14596" width="6.77734375" style="3" customWidth="1" collapsed="1"/>
    <col min="14597" max="14597" width="6.21875" style="3" customWidth="1" collapsed="1"/>
    <col min="14598" max="14598" width="10.77734375" style="3" customWidth="1" collapsed="1"/>
    <col min="14599" max="14599" width="6.21875" style="3" customWidth="1" collapsed="1"/>
    <col min="14600" max="14600" width="6.77734375" style="3" customWidth="1" collapsed="1"/>
    <col min="14601" max="14601" width="6.21875" style="3" customWidth="1" collapsed="1"/>
    <col min="14602" max="14602" width="10.21875" style="3" customWidth="1" collapsed="1"/>
    <col min="14603" max="14603" width="6.21875" style="3" customWidth="1" collapsed="1"/>
    <col min="14604" max="14604" width="6.77734375" style="3" customWidth="1" collapsed="1"/>
    <col min="14605" max="14605" width="6.21875" style="3" customWidth="1" collapsed="1"/>
    <col min="14606" max="14606" width="12" style="3" customWidth="1" collapsed="1"/>
    <col min="14607" max="14607" width="6.21875" style="3" customWidth="1" collapsed="1"/>
    <col min="14608" max="14608" width="7.109375" style="3" customWidth="1" collapsed="1"/>
    <col min="14609" max="14609" width="6.21875" style="3" customWidth="1" collapsed="1"/>
    <col min="14610" max="14610" width="13" style="3" customWidth="1" collapsed="1"/>
    <col min="14611" max="14611" width="6.21875" style="3" customWidth="1" collapsed="1"/>
    <col min="14612" max="14612" width="8.33203125" style="3" customWidth="1" collapsed="1"/>
    <col min="14613" max="14613" width="6.21875" style="3" customWidth="1" collapsed="1"/>
    <col min="14614" max="14614" width="15.44140625" style="3" customWidth="1" collapsed="1"/>
    <col min="14615" max="14615" width="6.21875" style="3" customWidth="1" collapsed="1"/>
    <col min="14616" max="14616" width="1.6640625" style="3" customWidth="1" collapsed="1"/>
    <col min="14617" max="14848" width="9" style="3" collapsed="1"/>
    <col min="14849" max="14850" width="2.77734375" style="3" customWidth="1" collapsed="1"/>
    <col min="14851" max="14851" width="7.33203125" style="3" customWidth="1" collapsed="1"/>
    <col min="14852" max="14852" width="6.77734375" style="3" customWidth="1" collapsed="1"/>
    <col min="14853" max="14853" width="6.21875" style="3" customWidth="1" collapsed="1"/>
    <col min="14854" max="14854" width="10.77734375" style="3" customWidth="1" collapsed="1"/>
    <col min="14855" max="14855" width="6.21875" style="3" customWidth="1" collapsed="1"/>
    <col min="14856" max="14856" width="6.77734375" style="3" customWidth="1" collapsed="1"/>
    <col min="14857" max="14857" width="6.21875" style="3" customWidth="1" collapsed="1"/>
    <col min="14858" max="14858" width="10.21875" style="3" customWidth="1" collapsed="1"/>
    <col min="14859" max="14859" width="6.21875" style="3" customWidth="1" collapsed="1"/>
    <col min="14860" max="14860" width="6.77734375" style="3" customWidth="1" collapsed="1"/>
    <col min="14861" max="14861" width="6.21875" style="3" customWidth="1" collapsed="1"/>
    <col min="14862" max="14862" width="12" style="3" customWidth="1" collapsed="1"/>
    <col min="14863" max="14863" width="6.21875" style="3" customWidth="1" collapsed="1"/>
    <col min="14864" max="14864" width="7.109375" style="3" customWidth="1" collapsed="1"/>
    <col min="14865" max="14865" width="6.21875" style="3" customWidth="1" collapsed="1"/>
    <col min="14866" max="14866" width="13" style="3" customWidth="1" collapsed="1"/>
    <col min="14867" max="14867" width="6.21875" style="3" customWidth="1" collapsed="1"/>
    <col min="14868" max="14868" width="8.33203125" style="3" customWidth="1" collapsed="1"/>
    <col min="14869" max="14869" width="6.21875" style="3" customWidth="1" collapsed="1"/>
    <col min="14870" max="14870" width="15.44140625" style="3" customWidth="1" collapsed="1"/>
    <col min="14871" max="14871" width="6.21875" style="3" customWidth="1" collapsed="1"/>
    <col min="14872" max="14872" width="1.6640625" style="3" customWidth="1" collapsed="1"/>
    <col min="14873" max="15104" width="9" style="3" collapsed="1"/>
    <col min="15105" max="15106" width="2.77734375" style="3" customWidth="1" collapsed="1"/>
    <col min="15107" max="15107" width="7.33203125" style="3" customWidth="1" collapsed="1"/>
    <col min="15108" max="15108" width="6.77734375" style="3" customWidth="1" collapsed="1"/>
    <col min="15109" max="15109" width="6.21875" style="3" customWidth="1" collapsed="1"/>
    <col min="15110" max="15110" width="10.77734375" style="3" customWidth="1" collapsed="1"/>
    <col min="15111" max="15111" width="6.21875" style="3" customWidth="1" collapsed="1"/>
    <col min="15112" max="15112" width="6.77734375" style="3" customWidth="1" collapsed="1"/>
    <col min="15113" max="15113" width="6.21875" style="3" customWidth="1" collapsed="1"/>
    <col min="15114" max="15114" width="10.21875" style="3" customWidth="1" collapsed="1"/>
    <col min="15115" max="15115" width="6.21875" style="3" customWidth="1" collapsed="1"/>
    <col min="15116" max="15116" width="6.77734375" style="3" customWidth="1" collapsed="1"/>
    <col min="15117" max="15117" width="6.21875" style="3" customWidth="1" collapsed="1"/>
    <col min="15118" max="15118" width="12" style="3" customWidth="1" collapsed="1"/>
    <col min="15119" max="15119" width="6.21875" style="3" customWidth="1" collapsed="1"/>
    <col min="15120" max="15120" width="7.109375" style="3" customWidth="1" collapsed="1"/>
    <col min="15121" max="15121" width="6.21875" style="3" customWidth="1" collapsed="1"/>
    <col min="15122" max="15122" width="13" style="3" customWidth="1" collapsed="1"/>
    <col min="15123" max="15123" width="6.21875" style="3" customWidth="1" collapsed="1"/>
    <col min="15124" max="15124" width="8.33203125" style="3" customWidth="1" collapsed="1"/>
    <col min="15125" max="15125" width="6.21875" style="3" customWidth="1" collapsed="1"/>
    <col min="15126" max="15126" width="15.44140625" style="3" customWidth="1" collapsed="1"/>
    <col min="15127" max="15127" width="6.21875" style="3" customWidth="1" collapsed="1"/>
    <col min="15128" max="15128" width="1.6640625" style="3" customWidth="1" collapsed="1"/>
    <col min="15129" max="15360" width="9" style="3" collapsed="1"/>
    <col min="15361" max="15362" width="2.77734375" style="3" customWidth="1" collapsed="1"/>
    <col min="15363" max="15363" width="7.33203125" style="3" customWidth="1" collapsed="1"/>
    <col min="15364" max="15364" width="6.77734375" style="3" customWidth="1" collapsed="1"/>
    <col min="15365" max="15365" width="6.21875" style="3" customWidth="1" collapsed="1"/>
    <col min="15366" max="15366" width="10.77734375" style="3" customWidth="1" collapsed="1"/>
    <col min="15367" max="15367" width="6.21875" style="3" customWidth="1" collapsed="1"/>
    <col min="15368" max="15368" width="6.77734375" style="3" customWidth="1" collapsed="1"/>
    <col min="15369" max="15369" width="6.21875" style="3" customWidth="1" collapsed="1"/>
    <col min="15370" max="15370" width="10.21875" style="3" customWidth="1" collapsed="1"/>
    <col min="15371" max="15371" width="6.21875" style="3" customWidth="1" collapsed="1"/>
    <col min="15372" max="15372" width="6.77734375" style="3" customWidth="1" collapsed="1"/>
    <col min="15373" max="15373" width="6.21875" style="3" customWidth="1" collapsed="1"/>
    <col min="15374" max="15374" width="12" style="3" customWidth="1" collapsed="1"/>
    <col min="15375" max="15375" width="6.21875" style="3" customWidth="1" collapsed="1"/>
    <col min="15376" max="15376" width="7.109375" style="3" customWidth="1" collapsed="1"/>
    <col min="15377" max="15377" width="6.21875" style="3" customWidth="1" collapsed="1"/>
    <col min="15378" max="15378" width="13" style="3" customWidth="1" collapsed="1"/>
    <col min="15379" max="15379" width="6.21875" style="3" customWidth="1" collapsed="1"/>
    <col min="15380" max="15380" width="8.33203125" style="3" customWidth="1" collapsed="1"/>
    <col min="15381" max="15381" width="6.21875" style="3" customWidth="1" collapsed="1"/>
    <col min="15382" max="15382" width="15.44140625" style="3" customWidth="1" collapsed="1"/>
    <col min="15383" max="15383" width="6.21875" style="3" customWidth="1" collapsed="1"/>
    <col min="15384" max="15384" width="1.6640625" style="3" customWidth="1" collapsed="1"/>
    <col min="15385" max="15616" width="9" style="3" collapsed="1"/>
    <col min="15617" max="15618" width="2.77734375" style="3" customWidth="1" collapsed="1"/>
    <col min="15619" max="15619" width="7.33203125" style="3" customWidth="1" collapsed="1"/>
    <col min="15620" max="15620" width="6.77734375" style="3" customWidth="1" collapsed="1"/>
    <col min="15621" max="15621" width="6.21875" style="3" customWidth="1" collapsed="1"/>
    <col min="15622" max="15622" width="10.77734375" style="3" customWidth="1" collapsed="1"/>
    <col min="15623" max="15623" width="6.21875" style="3" customWidth="1" collapsed="1"/>
    <col min="15624" max="15624" width="6.77734375" style="3" customWidth="1" collapsed="1"/>
    <col min="15625" max="15625" width="6.21875" style="3" customWidth="1" collapsed="1"/>
    <col min="15626" max="15626" width="10.21875" style="3" customWidth="1" collapsed="1"/>
    <col min="15627" max="15627" width="6.21875" style="3" customWidth="1" collapsed="1"/>
    <col min="15628" max="15628" width="6.77734375" style="3" customWidth="1" collapsed="1"/>
    <col min="15629" max="15629" width="6.21875" style="3" customWidth="1" collapsed="1"/>
    <col min="15630" max="15630" width="12" style="3" customWidth="1" collapsed="1"/>
    <col min="15631" max="15631" width="6.21875" style="3" customWidth="1" collapsed="1"/>
    <col min="15632" max="15632" width="7.109375" style="3" customWidth="1" collapsed="1"/>
    <col min="15633" max="15633" width="6.21875" style="3" customWidth="1" collapsed="1"/>
    <col min="15634" max="15634" width="13" style="3" customWidth="1" collapsed="1"/>
    <col min="15635" max="15635" width="6.21875" style="3" customWidth="1" collapsed="1"/>
    <col min="15636" max="15636" width="8.33203125" style="3" customWidth="1" collapsed="1"/>
    <col min="15637" max="15637" width="6.21875" style="3" customWidth="1" collapsed="1"/>
    <col min="15638" max="15638" width="15.44140625" style="3" customWidth="1" collapsed="1"/>
    <col min="15639" max="15639" width="6.21875" style="3" customWidth="1" collapsed="1"/>
    <col min="15640" max="15640" width="1.6640625" style="3" customWidth="1" collapsed="1"/>
    <col min="15641" max="15872" width="9" style="3" collapsed="1"/>
    <col min="15873" max="15874" width="2.77734375" style="3" customWidth="1" collapsed="1"/>
    <col min="15875" max="15875" width="7.33203125" style="3" customWidth="1" collapsed="1"/>
    <col min="15876" max="15876" width="6.77734375" style="3" customWidth="1" collapsed="1"/>
    <col min="15877" max="15877" width="6.21875" style="3" customWidth="1" collapsed="1"/>
    <col min="15878" max="15878" width="10.77734375" style="3" customWidth="1" collapsed="1"/>
    <col min="15879" max="15879" width="6.21875" style="3" customWidth="1" collapsed="1"/>
    <col min="15880" max="15880" width="6.77734375" style="3" customWidth="1" collapsed="1"/>
    <col min="15881" max="15881" width="6.21875" style="3" customWidth="1" collapsed="1"/>
    <col min="15882" max="15882" width="10.21875" style="3" customWidth="1" collapsed="1"/>
    <col min="15883" max="15883" width="6.21875" style="3" customWidth="1" collapsed="1"/>
    <col min="15884" max="15884" width="6.77734375" style="3" customWidth="1" collapsed="1"/>
    <col min="15885" max="15885" width="6.21875" style="3" customWidth="1" collapsed="1"/>
    <col min="15886" max="15886" width="12" style="3" customWidth="1" collapsed="1"/>
    <col min="15887" max="15887" width="6.21875" style="3" customWidth="1" collapsed="1"/>
    <col min="15888" max="15888" width="7.109375" style="3" customWidth="1" collapsed="1"/>
    <col min="15889" max="15889" width="6.21875" style="3" customWidth="1" collapsed="1"/>
    <col min="15890" max="15890" width="13" style="3" customWidth="1" collapsed="1"/>
    <col min="15891" max="15891" width="6.21875" style="3" customWidth="1" collapsed="1"/>
    <col min="15892" max="15892" width="8.33203125" style="3" customWidth="1" collapsed="1"/>
    <col min="15893" max="15893" width="6.21875" style="3" customWidth="1" collapsed="1"/>
    <col min="15894" max="15894" width="15.44140625" style="3" customWidth="1" collapsed="1"/>
    <col min="15895" max="15895" width="6.21875" style="3" customWidth="1" collapsed="1"/>
    <col min="15896" max="15896" width="1.6640625" style="3" customWidth="1" collapsed="1"/>
    <col min="15897" max="16128" width="9" style="3" collapsed="1"/>
    <col min="16129" max="16130" width="2.77734375" style="3" customWidth="1" collapsed="1"/>
    <col min="16131" max="16131" width="7.33203125" style="3" customWidth="1" collapsed="1"/>
    <col min="16132" max="16132" width="6.77734375" style="3" customWidth="1" collapsed="1"/>
    <col min="16133" max="16133" width="6.21875" style="3" customWidth="1" collapsed="1"/>
    <col min="16134" max="16134" width="10.77734375" style="3" customWidth="1" collapsed="1"/>
    <col min="16135" max="16135" width="6.21875" style="3" customWidth="1" collapsed="1"/>
    <col min="16136" max="16136" width="6.77734375" style="3" customWidth="1" collapsed="1"/>
    <col min="16137" max="16137" width="6.21875" style="3" customWidth="1" collapsed="1"/>
    <col min="16138" max="16138" width="10.21875" style="3" customWidth="1" collapsed="1"/>
    <col min="16139" max="16139" width="6.21875" style="3" customWidth="1" collapsed="1"/>
    <col min="16140" max="16140" width="6.77734375" style="3" customWidth="1" collapsed="1"/>
    <col min="16141" max="16141" width="6.21875" style="3" customWidth="1" collapsed="1"/>
    <col min="16142" max="16142" width="12" style="3" customWidth="1" collapsed="1"/>
    <col min="16143" max="16143" width="6.21875" style="3" customWidth="1" collapsed="1"/>
    <col min="16144" max="16144" width="7.109375" style="3" customWidth="1" collapsed="1"/>
    <col min="16145" max="16145" width="6.21875" style="3" customWidth="1" collapsed="1"/>
    <col min="16146" max="16146" width="13" style="3" customWidth="1" collapsed="1"/>
    <col min="16147" max="16147" width="6.21875" style="3" customWidth="1" collapsed="1"/>
    <col min="16148" max="16148" width="8.33203125" style="3" customWidth="1" collapsed="1"/>
    <col min="16149" max="16149" width="6.21875" style="3" customWidth="1" collapsed="1"/>
    <col min="16150" max="16150" width="15.44140625" style="3" customWidth="1" collapsed="1"/>
    <col min="16151" max="16151" width="6.21875" style="3" customWidth="1" collapsed="1"/>
    <col min="16152" max="16152" width="1.6640625" style="3" customWidth="1" collapsed="1"/>
    <col min="16153" max="16384" width="9" style="3" collapsed="1"/>
  </cols>
  <sheetData>
    <row r="1" spans="1:51" s="1" customFormat="1" ht="20.399999999999999" customHeight="1">
      <c r="A1" s="19" t="s">
        <v>575</v>
      </c>
      <c r="B1" s="20"/>
      <c r="C1" s="2"/>
    </row>
    <row r="2" spans="1:51" s="1" customFormat="1" ht="7.5" customHeight="1">
      <c r="A2" s="21"/>
      <c r="B2" s="20"/>
      <c r="C2" s="2"/>
    </row>
    <row r="3" spans="1:51" s="11" customFormat="1" ht="20.399999999999999" customHeight="1">
      <c r="A3" s="861" t="s">
        <v>193</v>
      </c>
      <c r="B3" s="78"/>
      <c r="C3" s="876"/>
    </row>
    <row r="4" spans="1:51" s="11" customFormat="1" ht="20.399999999999999" customHeight="1">
      <c r="A4" s="861"/>
      <c r="B4" s="765" t="str">
        <f>DBCS(情報!$D$2&amp;"の療養諸費費用額の状況は表１０のとおりである。")</f>
        <v>令和３年度の療養諸費費用額の状況は表１０のとおりである。</v>
      </c>
      <c r="C4" s="876"/>
    </row>
    <row r="5" spans="1:51" s="11" customFormat="1" ht="20.399999999999999" customHeight="1">
      <c r="A5" s="877"/>
      <c r="B5" s="878"/>
      <c r="C5" s="876"/>
    </row>
    <row r="6" spans="1:51" ht="20.25" customHeight="1">
      <c r="C6" s="22" t="s">
        <v>576</v>
      </c>
    </row>
    <row r="7" spans="1:51" s="43" customFormat="1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51" s="8" customFormat="1" ht="21" customHeight="1">
      <c r="A8" s="1986" t="s">
        <v>559</v>
      </c>
      <c r="B8" s="1987"/>
      <c r="C8" s="991"/>
      <c r="D8" s="1974" t="s">
        <v>144</v>
      </c>
      <c r="E8" s="1974"/>
      <c r="F8" s="1974"/>
      <c r="G8" s="1974"/>
      <c r="H8" s="1974"/>
      <c r="I8" s="1974"/>
      <c r="J8" s="1974"/>
      <c r="K8" s="1974"/>
      <c r="L8" s="1974"/>
      <c r="M8" s="1974"/>
      <c r="N8" s="1974"/>
      <c r="O8" s="1974"/>
      <c r="P8" s="1975" t="s">
        <v>145</v>
      </c>
      <c r="Q8" s="1975"/>
      <c r="R8" s="1975"/>
      <c r="S8" s="1975"/>
      <c r="T8" s="1975" t="s">
        <v>146</v>
      </c>
      <c r="U8" s="1975"/>
      <c r="V8" s="1975"/>
      <c r="W8" s="1975"/>
    </row>
    <row r="9" spans="1:51" s="8" customFormat="1" ht="21" customHeight="1">
      <c r="A9" s="1988"/>
      <c r="B9" s="1989"/>
      <c r="C9" s="886" t="s">
        <v>147</v>
      </c>
      <c r="D9" s="1974" t="s">
        <v>148</v>
      </c>
      <c r="E9" s="1974"/>
      <c r="F9" s="1974"/>
      <c r="G9" s="1974"/>
      <c r="H9" s="1974" t="s">
        <v>149</v>
      </c>
      <c r="I9" s="1974"/>
      <c r="J9" s="1974"/>
      <c r="K9" s="1974"/>
      <c r="L9" s="1974" t="s">
        <v>150</v>
      </c>
      <c r="M9" s="1974"/>
      <c r="N9" s="1974"/>
      <c r="O9" s="1974"/>
      <c r="P9" s="987"/>
      <c r="Q9" s="987"/>
      <c r="R9" s="987"/>
      <c r="S9" s="989"/>
      <c r="T9" s="987"/>
      <c r="U9" s="987"/>
      <c r="V9" s="987"/>
      <c r="W9" s="989"/>
    </row>
    <row r="10" spans="1:51" s="8" customFormat="1" ht="24" customHeight="1">
      <c r="A10" s="1990"/>
      <c r="B10" s="1991"/>
      <c r="C10" s="992"/>
      <c r="D10" s="872" t="s">
        <v>151</v>
      </c>
      <c r="E10" s="873" t="s">
        <v>120</v>
      </c>
      <c r="F10" s="872" t="s">
        <v>152</v>
      </c>
      <c r="G10" s="873" t="s">
        <v>120</v>
      </c>
      <c r="H10" s="872" t="s">
        <v>151</v>
      </c>
      <c r="I10" s="873" t="s">
        <v>120</v>
      </c>
      <c r="J10" s="872" t="s">
        <v>152</v>
      </c>
      <c r="K10" s="873" t="s">
        <v>120</v>
      </c>
      <c r="L10" s="872" t="s">
        <v>151</v>
      </c>
      <c r="M10" s="873" t="s">
        <v>120</v>
      </c>
      <c r="N10" s="872" t="s">
        <v>152</v>
      </c>
      <c r="O10" s="873" t="s">
        <v>120</v>
      </c>
      <c r="P10" s="872" t="s">
        <v>151</v>
      </c>
      <c r="Q10" s="873" t="s">
        <v>120</v>
      </c>
      <c r="R10" s="872" t="s">
        <v>152</v>
      </c>
      <c r="S10" s="873" t="s">
        <v>120</v>
      </c>
      <c r="T10" s="872" t="s">
        <v>151</v>
      </c>
      <c r="U10" s="873" t="s">
        <v>120</v>
      </c>
      <c r="V10" s="872" t="s">
        <v>152</v>
      </c>
      <c r="W10" s="873" t="s">
        <v>120</v>
      </c>
    </row>
    <row r="11" spans="1:51" s="51" customFormat="1" ht="13.5" customHeight="1">
      <c r="A11" s="1976" t="s">
        <v>480</v>
      </c>
      <c r="B11" s="1977"/>
      <c r="C11" s="993"/>
      <c r="D11" s="969" t="s">
        <v>153</v>
      </c>
      <c r="E11" s="968" t="s">
        <v>4</v>
      </c>
      <c r="F11" s="969" t="s">
        <v>154</v>
      </c>
      <c r="G11" s="968" t="s">
        <v>4</v>
      </c>
      <c r="H11" s="969" t="s">
        <v>153</v>
      </c>
      <c r="I11" s="968" t="s">
        <v>4</v>
      </c>
      <c r="J11" s="969" t="s">
        <v>154</v>
      </c>
      <c r="K11" s="968" t="s">
        <v>4</v>
      </c>
      <c r="L11" s="969" t="s">
        <v>153</v>
      </c>
      <c r="M11" s="968" t="s">
        <v>4</v>
      </c>
      <c r="N11" s="969" t="s">
        <v>154</v>
      </c>
      <c r="O11" s="968" t="s">
        <v>4</v>
      </c>
      <c r="P11" s="969" t="s">
        <v>153</v>
      </c>
      <c r="Q11" s="968" t="s">
        <v>4</v>
      </c>
      <c r="R11" s="969" t="s">
        <v>154</v>
      </c>
      <c r="S11" s="968" t="s">
        <v>4</v>
      </c>
      <c r="T11" s="969" t="s">
        <v>153</v>
      </c>
      <c r="U11" s="968" t="s">
        <v>4</v>
      </c>
      <c r="V11" s="969" t="s">
        <v>154</v>
      </c>
      <c r="W11" s="968" t="s">
        <v>4</v>
      </c>
    </row>
    <row r="12" spans="1:51" s="1304" customFormat="1" ht="12" hidden="1">
      <c r="A12" s="1978"/>
      <c r="B12" s="1979"/>
      <c r="C12" s="1309">
        <f>情報!$B$5</f>
        <v>30</v>
      </c>
      <c r="D12" s="1311">
        <f>D16+D20</f>
        <v>31108.305999999997</v>
      </c>
      <c r="E12" s="1312" t="s">
        <v>433</v>
      </c>
      <c r="F12" s="1311">
        <f>F16+F20</f>
        <v>761297613.43200004</v>
      </c>
      <c r="G12" s="1312" t="s">
        <v>433</v>
      </c>
      <c r="H12" s="1311">
        <f>H16+H20</f>
        <v>17243.679</v>
      </c>
      <c r="I12" s="1312" t="s">
        <v>433</v>
      </c>
      <c r="J12" s="1311">
        <f>J16+J20</f>
        <v>190396094.419</v>
      </c>
      <c r="K12" s="1312" t="s">
        <v>433</v>
      </c>
      <c r="L12" s="1311">
        <f>L16+L20</f>
        <v>48480.862000000001</v>
      </c>
      <c r="M12" s="1312" t="s">
        <v>433</v>
      </c>
      <c r="N12" s="1311">
        <f>N16+N20</f>
        <v>974458963.58500004</v>
      </c>
      <c r="O12" s="1312" t="s">
        <v>433</v>
      </c>
      <c r="P12" s="1311">
        <f>P16+P20</f>
        <v>1583.8689999999999</v>
      </c>
      <c r="Q12" s="1312" t="s">
        <v>433</v>
      </c>
      <c r="R12" s="1311">
        <f>R16+R20</f>
        <v>16104726.07</v>
      </c>
      <c r="S12" s="1312" t="s">
        <v>433</v>
      </c>
      <c r="T12" s="1311">
        <f>T16+T20</f>
        <v>50064.731000000007</v>
      </c>
      <c r="U12" s="1312" t="s">
        <v>433</v>
      </c>
      <c r="V12" s="1311">
        <f>V16+V20</f>
        <v>990563689.65499997</v>
      </c>
      <c r="W12" s="1312" t="s">
        <v>433</v>
      </c>
      <c r="Z12" s="1844" t="s">
        <v>1162</v>
      </c>
      <c r="AA12" s="1844" t="s">
        <v>1163</v>
      </c>
      <c r="AB12" s="1844" t="s">
        <v>1164</v>
      </c>
      <c r="AC12" s="1844" t="s">
        <v>1165</v>
      </c>
      <c r="AD12" s="1844" t="s">
        <v>1166</v>
      </c>
      <c r="AE12" s="1844" t="s">
        <v>1167</v>
      </c>
      <c r="AF12" s="1844" t="s">
        <v>1168</v>
      </c>
      <c r="AG12" s="1844" t="s">
        <v>1169</v>
      </c>
      <c r="AH12" s="1844" t="s">
        <v>1170</v>
      </c>
      <c r="AI12" s="1844" t="s">
        <v>1171</v>
      </c>
      <c r="AJ12" s="1844" t="s">
        <v>1172</v>
      </c>
      <c r="AK12" s="1844" t="s">
        <v>1173</v>
      </c>
      <c r="AL12" s="1844" t="s">
        <v>1174</v>
      </c>
      <c r="AM12" s="1844" t="s">
        <v>1175</v>
      </c>
      <c r="AN12" s="1844" t="s">
        <v>1176</v>
      </c>
      <c r="AO12" s="1844" t="s">
        <v>1177</v>
      </c>
      <c r="AP12" s="1844" t="s">
        <v>1178</v>
      </c>
      <c r="AQ12" s="1844" t="s">
        <v>1179</v>
      </c>
      <c r="AR12" s="1844" t="s">
        <v>1180</v>
      </c>
      <c r="AS12" s="1844" t="s">
        <v>1181</v>
      </c>
      <c r="AT12" s="1844" t="s">
        <v>1180</v>
      </c>
      <c r="AU12" s="1844" t="s">
        <v>1181</v>
      </c>
      <c r="AV12" s="1844" t="s">
        <v>1182</v>
      </c>
      <c r="AW12" s="1844" t="s">
        <v>1183</v>
      </c>
      <c r="AX12" s="1844" t="s">
        <v>1182</v>
      </c>
      <c r="AY12" s="1844" t="s">
        <v>1183</v>
      </c>
    </row>
    <row r="13" spans="1:51" s="8" customFormat="1" ht="18" customHeight="1">
      <c r="A13" s="1978"/>
      <c r="B13" s="1979"/>
      <c r="C13" s="994" t="str">
        <f>情報!$B$4</f>
        <v>元</v>
      </c>
      <c r="D13" s="1108">
        <f>D17+D21</f>
        <v>30070.233</v>
      </c>
      <c r="E13" s="1313">
        <f>IF(ISERROR(D13/D12),"－",ROUND(D13/D12*100,1))</f>
        <v>96.7</v>
      </c>
      <c r="F13" s="1108">
        <f>F17+F21</f>
        <v>750588347.14700007</v>
      </c>
      <c r="G13" s="1313">
        <f>IF(ISERROR(F13/F12),"－",ROUND(F13/F12*100,1))</f>
        <v>98.6</v>
      </c>
      <c r="H13" s="1108">
        <f>H17+H21</f>
        <v>16679.653999999999</v>
      </c>
      <c r="I13" s="1313">
        <f>IF(ISERROR(H13/H12),"－",ROUND(H13/H12*100,1))</f>
        <v>96.7</v>
      </c>
      <c r="J13" s="1108">
        <f>J17+J21</f>
        <v>187598110.59900001</v>
      </c>
      <c r="K13" s="1313">
        <f>IF(ISERROR(J13/J12),"－",ROUND(J13/J12*100,1))</f>
        <v>98.5</v>
      </c>
      <c r="L13" s="1108">
        <f>L17+L21</f>
        <v>46893.338000000003</v>
      </c>
      <c r="M13" s="1313">
        <f>IF(ISERROR(L13/L12),"－",ROUND(L13/L12*100,1))</f>
        <v>96.7</v>
      </c>
      <c r="N13" s="1108">
        <f>N17+N21</f>
        <v>961832040.17600012</v>
      </c>
      <c r="O13" s="1313">
        <f>IF(ISERROR(N13/N12),"－",ROUND(N13/N12*100,1))</f>
        <v>98.7</v>
      </c>
      <c r="P13" s="1108">
        <f>P17+P21</f>
        <v>1488.9350000000002</v>
      </c>
      <c r="Q13" s="1313">
        <f>IF(ISERROR(P13/P12),"－",ROUND(P13/P12*100,1))</f>
        <v>94</v>
      </c>
      <c r="R13" s="1108">
        <f>R17+R21</f>
        <v>15030754.665000001</v>
      </c>
      <c r="S13" s="1313">
        <f>IF(ISERROR(R13/R12),"－",ROUND(R13/R12*100,1))</f>
        <v>93.3</v>
      </c>
      <c r="T13" s="1108">
        <f>T17+T21</f>
        <v>48382.273000000001</v>
      </c>
      <c r="U13" s="1313">
        <f>IF(ISERROR(T13/T12),"－",ROUND(T13/T12*100,1))</f>
        <v>96.6</v>
      </c>
      <c r="V13" s="1108">
        <f>V17+V21</f>
        <v>976862794.84100008</v>
      </c>
      <c r="W13" s="1313">
        <f>IF(ISERROR(V13/V12),"－",ROUND(V13/V12*100,1))</f>
        <v>98.6</v>
      </c>
      <c r="Z13" s="1844"/>
      <c r="AA13" s="1844"/>
      <c r="AB13" s="1845"/>
      <c r="AC13" s="1845"/>
      <c r="AD13" s="1845"/>
      <c r="AE13" s="1845"/>
      <c r="AF13" s="1845"/>
      <c r="AG13" s="1845"/>
      <c r="AH13" s="1845"/>
      <c r="AI13" s="1845"/>
      <c r="AJ13" s="1845"/>
      <c r="AK13" s="1845"/>
      <c r="AL13" s="1845"/>
      <c r="AM13" s="1845"/>
      <c r="AN13" s="1845"/>
      <c r="AO13" s="1845"/>
      <c r="AP13" s="1845"/>
      <c r="AQ13" s="1845"/>
      <c r="AR13" s="1845"/>
      <c r="AS13" s="1845"/>
      <c r="AT13" s="1845"/>
      <c r="AU13" s="1845"/>
      <c r="AV13" s="1845"/>
      <c r="AW13" s="1845"/>
      <c r="AX13" s="1845"/>
      <c r="AY13" s="1845"/>
    </row>
    <row r="14" spans="1:51" s="8" customFormat="1" ht="23.25" customHeight="1">
      <c r="A14" s="1978"/>
      <c r="B14" s="1979"/>
      <c r="C14" s="995">
        <f>情報!$B$3</f>
        <v>2</v>
      </c>
      <c r="D14" s="1314">
        <f>D18+D22</f>
        <v>26213.811999999998</v>
      </c>
      <c r="E14" s="1315">
        <f>IF(ISERROR(D14/D13),"－",ROUND(D14/D13*100,1))</f>
        <v>87.2</v>
      </c>
      <c r="F14" s="1314">
        <f>F18+F22</f>
        <v>706646791.12</v>
      </c>
      <c r="G14" s="1315">
        <f>IF(ISERROR(F14/F13),"－",ROUND(F14/F13*100,1))</f>
        <v>94.1</v>
      </c>
      <c r="H14" s="1314">
        <f>H18+H22</f>
        <v>14837.347</v>
      </c>
      <c r="I14" s="1313">
        <f>IF(ISERROR(H14/H13),"－",ROUND(H14/H13*100,1))</f>
        <v>89</v>
      </c>
      <c r="J14" s="1314">
        <f>J18+J22</f>
        <v>179700723.30899999</v>
      </c>
      <c r="K14" s="1315">
        <f>IF(ISERROR(J14/J13),"－",ROUND(J14/J13*100,1))</f>
        <v>95.8</v>
      </c>
      <c r="L14" s="1314">
        <f>L18+L22</f>
        <v>41210.239999999998</v>
      </c>
      <c r="M14" s="1315">
        <f>IF(ISERROR(L14/L13),"－",ROUND(L14/L13*100,1))</f>
        <v>87.9</v>
      </c>
      <c r="N14" s="1314">
        <f>N18+N22</f>
        <v>910781748.92000008</v>
      </c>
      <c r="O14" s="1315">
        <f>IF(ISERROR(N14/N13),"－",ROUND(N14/N13*100,1))</f>
        <v>94.7</v>
      </c>
      <c r="P14" s="1314">
        <f>P18+P22</f>
        <v>1195.818</v>
      </c>
      <c r="Q14" s="1315">
        <f>IF(ISERROR(P14/P13),"－",ROUND(P14/P13*100,1))</f>
        <v>80.3</v>
      </c>
      <c r="R14" s="1314">
        <f>R18+R22</f>
        <v>12639620.391000001</v>
      </c>
      <c r="S14" s="1315">
        <f>IF(ISERROR(R14/R13),"－",ROUND(R14/R13*100,1))</f>
        <v>84.1</v>
      </c>
      <c r="T14" s="1314">
        <f>T18+T22</f>
        <v>42406.057999999997</v>
      </c>
      <c r="U14" s="1315">
        <f>IF(ISERROR(T14/T13),"－",ROUND(T14/T13*100,1))</f>
        <v>87.6</v>
      </c>
      <c r="V14" s="1314">
        <f>V18+V22</f>
        <v>923421369.31100011</v>
      </c>
      <c r="W14" s="1315">
        <f>IF(ISERROR(V14/V13),"－",ROUND(V14/V13*100,1))</f>
        <v>94.5</v>
      </c>
      <c r="Z14" s="1844"/>
      <c r="AA14" s="1844"/>
      <c r="AB14" s="1845"/>
      <c r="AC14" s="1845"/>
      <c r="AD14" s="1845"/>
      <c r="AE14" s="1845"/>
      <c r="AF14" s="1845"/>
      <c r="AG14" s="1845"/>
      <c r="AH14" s="1845"/>
      <c r="AI14" s="1845"/>
      <c r="AJ14" s="1845"/>
      <c r="AK14" s="1845"/>
      <c r="AL14" s="1845"/>
      <c r="AM14" s="1845"/>
      <c r="AN14" s="1845"/>
      <c r="AO14" s="1845"/>
      <c r="AP14" s="1845"/>
      <c r="AQ14" s="1845"/>
      <c r="AR14" s="1845"/>
      <c r="AS14" s="1845"/>
      <c r="AT14" s="1845"/>
      <c r="AU14" s="1845"/>
      <c r="AV14" s="1845"/>
      <c r="AW14" s="1845"/>
      <c r="AX14" s="1845"/>
      <c r="AY14" s="1845"/>
    </row>
    <row r="15" spans="1:51" s="8" customFormat="1" ht="23.25" customHeight="1">
      <c r="A15" s="1978"/>
      <c r="B15" s="1979"/>
      <c r="C15" s="1194">
        <f>情報!$B$2</f>
        <v>3</v>
      </c>
      <c r="D15" s="1314">
        <f>D19+D23</f>
        <v>27917.084999999999</v>
      </c>
      <c r="E15" s="1315">
        <f>IF(ISERROR(D15/D14),"－",ROUND(D15/D14*100,1))</f>
        <v>106.5</v>
      </c>
      <c r="F15" s="1314">
        <f>F19+F23</f>
        <v>760847006.99699998</v>
      </c>
      <c r="G15" s="1315">
        <f>IF(ISERROR(F15/F14),"－",ROUND(F15/F14*100,1))</f>
        <v>107.7</v>
      </c>
      <c r="H15" s="1314">
        <f>H19+H23</f>
        <v>15559.488000000001</v>
      </c>
      <c r="I15" s="1313">
        <f>IF(ISERROR(H15/H14),"－",ROUND(H15/H14*100,1))</f>
        <v>104.9</v>
      </c>
      <c r="J15" s="1314">
        <f>J19+J23</f>
        <v>183153222.94599998</v>
      </c>
      <c r="K15" s="1315">
        <f>IF(ISERROR(J15/J14),"－",ROUND(J15/J14*100,1))</f>
        <v>101.9</v>
      </c>
      <c r="L15" s="1314">
        <f>L19+L23</f>
        <v>43658.209000000003</v>
      </c>
      <c r="M15" s="1315">
        <f>IF(ISERROR(L15/L14),"－",ROUND(L15/L14*100,1))</f>
        <v>105.9</v>
      </c>
      <c r="N15" s="1314">
        <f>N19+N23</f>
        <v>970438394.17199993</v>
      </c>
      <c r="O15" s="1315">
        <f>IF(ISERROR(N15/N14),"－",ROUND(N15/N14*100,1))</f>
        <v>106.6</v>
      </c>
      <c r="P15" s="1314">
        <f>P19+P23</f>
        <v>1250.172</v>
      </c>
      <c r="Q15" s="1315">
        <f>IF(ISERROR(P15/P14),"－",ROUND(P15/P14*100,1))</f>
        <v>104.5</v>
      </c>
      <c r="R15" s="1314">
        <f>R19+R23</f>
        <v>12923680.488</v>
      </c>
      <c r="S15" s="1315">
        <f>IF(ISERROR(R15/R14),"－",ROUND(R15/R14*100,1))</f>
        <v>102.2</v>
      </c>
      <c r="T15" s="1314">
        <f>T19+T23</f>
        <v>44908.381000000001</v>
      </c>
      <c r="U15" s="1315">
        <f>IF(ISERROR(T15/T14),"－",ROUND(T15/T14*100,1))</f>
        <v>105.9</v>
      </c>
      <c r="V15" s="1314">
        <f>V19+V23</f>
        <v>983362074.66000009</v>
      </c>
      <c r="W15" s="1315">
        <f>IF(ISERROR(V15/V14),"－",ROUND(V15/V14*100,1))</f>
        <v>106.5</v>
      </c>
      <c r="Z15" s="1595" t="s">
        <v>756</v>
      </c>
      <c r="AA15" s="1595" t="s">
        <v>757</v>
      </c>
      <c r="AB15" s="1595" t="s">
        <v>758</v>
      </c>
      <c r="AC15" s="1595" t="s">
        <v>759</v>
      </c>
      <c r="AD15" s="1595" t="s">
        <v>760</v>
      </c>
      <c r="AE15" s="1595" t="s">
        <v>761</v>
      </c>
      <c r="AF15" s="1595" t="s">
        <v>762</v>
      </c>
      <c r="AG15" s="1595" t="s">
        <v>763</v>
      </c>
      <c r="AH15" s="1595" t="s">
        <v>764</v>
      </c>
      <c r="AI15" s="1595" t="s">
        <v>765</v>
      </c>
      <c r="AJ15" s="1595" t="s">
        <v>766</v>
      </c>
      <c r="AK15" s="1595" t="s">
        <v>767</v>
      </c>
      <c r="AL15" s="1595" t="s">
        <v>768</v>
      </c>
      <c r="AM15" s="1595" t="s">
        <v>769</v>
      </c>
      <c r="AN15" s="1595" t="s">
        <v>770</v>
      </c>
      <c r="AO15" s="1595" t="s">
        <v>771</v>
      </c>
      <c r="AP15" s="1595" t="s">
        <v>772</v>
      </c>
      <c r="AQ15" s="1595" t="s">
        <v>773</v>
      </c>
      <c r="AR15" s="1595" t="s">
        <v>774</v>
      </c>
      <c r="AS15" s="1595" t="s">
        <v>775</v>
      </c>
      <c r="AT15" s="1595" t="s">
        <v>776</v>
      </c>
      <c r="AU15" s="1595" t="s">
        <v>777</v>
      </c>
      <c r="AV15" s="1595" t="s">
        <v>778</v>
      </c>
      <c r="AW15" s="1595" t="s">
        <v>779</v>
      </c>
      <c r="AX15" s="1595" t="s">
        <v>780</v>
      </c>
      <c r="AY15" s="1595" t="s">
        <v>781</v>
      </c>
    </row>
    <row r="16" spans="1:51" s="1304" customFormat="1" ht="12" hidden="1">
      <c r="A16" s="1305"/>
      <c r="B16" s="1318"/>
      <c r="C16" s="1306">
        <f>情報!$B$5</f>
        <v>30</v>
      </c>
      <c r="D16" s="1303">
        <f t="shared" ref="D16:D22" si="0">(Z16+AA16+AB16)/1000</f>
        <v>21201.528999999999</v>
      </c>
      <c r="E16" s="1312" t="s">
        <v>433</v>
      </c>
      <c r="F16" s="1303">
        <f t="shared" ref="F16:F22" si="1">(AC16+AD16+AE16)/1000</f>
        <v>516508238.95200002</v>
      </c>
      <c r="G16" s="1312" t="s">
        <v>433</v>
      </c>
      <c r="H16" s="1303">
        <f t="shared" ref="H16:H22" si="2">(AF16+AG16+AH16)/1000</f>
        <v>11581.41</v>
      </c>
      <c r="I16" s="1312" t="s">
        <v>433</v>
      </c>
      <c r="J16" s="1303">
        <f t="shared" ref="J16:J22" si="3">(AI16+AJ16+AK16)/1000</f>
        <v>128057236.402</v>
      </c>
      <c r="K16" s="1312" t="s">
        <v>433</v>
      </c>
      <c r="L16" s="1303">
        <f t="shared" ref="L16:L22" si="4">(AL16+AM16+AN16)/1000</f>
        <v>32862.173000000003</v>
      </c>
      <c r="M16" s="1312" t="s">
        <v>433</v>
      </c>
      <c r="N16" s="1303">
        <f t="shared" ref="N16:N22" si="5">(AO16+AP16+AQ16)/1000</f>
        <v>659023950.51999998</v>
      </c>
      <c r="O16" s="1312" t="s">
        <v>433</v>
      </c>
      <c r="P16" s="1303">
        <f t="shared" ref="P16:P22" si="6">(AR16+AS16+AT16+AU16)/1000</f>
        <v>1173.597</v>
      </c>
      <c r="Q16" s="1312" t="s">
        <v>433</v>
      </c>
      <c r="R16" s="1303">
        <f t="shared" ref="R16:R22" si="7">(AV16+AW16+AX16+AY16)/1000</f>
        <v>12121503.896</v>
      </c>
      <c r="S16" s="1312" t="s">
        <v>433</v>
      </c>
      <c r="T16" s="1307">
        <f t="shared" ref="T16:T26" si="8">L16+P16</f>
        <v>34035.770000000004</v>
      </c>
      <c r="U16" s="1312" t="s">
        <v>433</v>
      </c>
      <c r="V16" s="1307">
        <f t="shared" ref="V16:V26" si="9">N16+R16</f>
        <v>671145454.41600001</v>
      </c>
      <c r="W16" s="1312" t="s">
        <v>433</v>
      </c>
      <c r="Z16" s="59">
        <v>21105044</v>
      </c>
      <c r="AA16" s="59">
        <v>73900</v>
      </c>
      <c r="AB16" s="59">
        <v>22585</v>
      </c>
      <c r="AC16" s="59">
        <v>514107685053</v>
      </c>
      <c r="AD16" s="59">
        <v>1944415869</v>
      </c>
      <c r="AE16" s="59">
        <v>456138030</v>
      </c>
      <c r="AF16" s="59">
        <v>11528481</v>
      </c>
      <c r="AG16" s="59">
        <v>40539</v>
      </c>
      <c r="AH16" s="59">
        <v>12390</v>
      </c>
      <c r="AI16" s="59">
        <v>127415338763</v>
      </c>
      <c r="AJ16" s="59">
        <v>497778719</v>
      </c>
      <c r="AK16" s="59">
        <v>144118920</v>
      </c>
      <c r="AL16" s="59">
        <v>32712374</v>
      </c>
      <c r="AM16" s="59">
        <v>114736</v>
      </c>
      <c r="AN16" s="59">
        <v>35063</v>
      </c>
      <c r="AO16" s="59">
        <v>655916037131</v>
      </c>
      <c r="AP16" s="59">
        <v>2490017080</v>
      </c>
      <c r="AQ16" s="59">
        <v>617896309</v>
      </c>
      <c r="AR16" s="59">
        <v>1167690</v>
      </c>
      <c r="AS16" s="59">
        <v>16</v>
      </c>
      <c r="AT16" s="59">
        <v>5891</v>
      </c>
      <c r="AU16" s="59">
        <v>0</v>
      </c>
      <c r="AV16" s="59">
        <v>12054093542</v>
      </c>
      <c r="AW16" s="59">
        <v>5585570</v>
      </c>
      <c r="AX16" s="59">
        <v>61824784</v>
      </c>
      <c r="AY16" s="59">
        <v>0</v>
      </c>
    </row>
    <row r="17" spans="1:51" s="8" customFormat="1" ht="20.25" customHeight="1">
      <c r="A17" s="866"/>
      <c r="B17" s="1992" t="s">
        <v>437</v>
      </c>
      <c r="C17" s="994" t="str">
        <f>情報!$B$4</f>
        <v>元</v>
      </c>
      <c r="D17" s="1734">
        <f t="shared" si="0"/>
        <v>20460.569</v>
      </c>
      <c r="E17" s="1313">
        <f>IF(ISERROR(D17/D16),"－",ROUND(D17/D16*100,1))</f>
        <v>96.5</v>
      </c>
      <c r="F17" s="1734">
        <f t="shared" si="1"/>
        <v>508836509.91100001</v>
      </c>
      <c r="G17" s="1313">
        <f>IF(ISERROR(F17/F16),"－",ROUND(F17/F16*100,1))</f>
        <v>98.5</v>
      </c>
      <c r="H17" s="1734">
        <f t="shared" si="2"/>
        <v>11195.061</v>
      </c>
      <c r="I17" s="1313">
        <f>IF(ISERROR(H17/H16),"－",ROUND(H17/H16*100,1))</f>
        <v>96.7</v>
      </c>
      <c r="J17" s="1734">
        <f t="shared" si="3"/>
        <v>126066781.492</v>
      </c>
      <c r="K17" s="1313">
        <f>IF(ISERROR(J17/J16),"－",ROUND(J17/J16*100,1))</f>
        <v>98.4</v>
      </c>
      <c r="L17" s="1734">
        <f t="shared" si="4"/>
        <v>31744.05</v>
      </c>
      <c r="M17" s="1313">
        <f>IF(ISERROR(L17/L16),"－",ROUND(L17/L16*100,1))</f>
        <v>96.6</v>
      </c>
      <c r="N17" s="1734">
        <f t="shared" si="5"/>
        <v>649970906.79700005</v>
      </c>
      <c r="O17" s="1313">
        <f>IF(ISERROR(N17/N16),"－",ROUND(N17/N16*100,1))</f>
        <v>98.6</v>
      </c>
      <c r="P17" s="1734">
        <f t="shared" si="6"/>
        <v>1091.1400000000001</v>
      </c>
      <c r="Q17" s="1313">
        <f>IF(ISERROR(P17/P16),"－",ROUND(P17/P16*100,1))</f>
        <v>93</v>
      </c>
      <c r="R17" s="1734">
        <f t="shared" si="7"/>
        <v>11254080.516000001</v>
      </c>
      <c r="S17" s="1313">
        <f>IF(ISERROR(R17/R16),"－",ROUND(R17/R16*100,1))</f>
        <v>92.8</v>
      </c>
      <c r="T17" s="1736">
        <f t="shared" si="8"/>
        <v>32835.19</v>
      </c>
      <c r="U17" s="1313">
        <f>IF(ISERROR(T17/T16),"－",ROUND(T17/T16*100,1))</f>
        <v>96.5</v>
      </c>
      <c r="V17" s="1736">
        <f t="shared" si="9"/>
        <v>661224987.31300008</v>
      </c>
      <c r="W17" s="1313">
        <f>IF(ISERROR(V17/V16),"－",ROUND(V17/V16*100,1))</f>
        <v>98.5</v>
      </c>
      <c r="Z17" s="1634">
        <v>20439803</v>
      </c>
      <c r="AA17" s="1634">
        <v>15032</v>
      </c>
      <c r="AB17" s="1634">
        <v>5734</v>
      </c>
      <c r="AC17" s="1634">
        <v>508334084572</v>
      </c>
      <c r="AD17" s="1634">
        <v>376717714</v>
      </c>
      <c r="AE17" s="1634">
        <v>125707625</v>
      </c>
      <c r="AF17" s="1634">
        <v>11183917</v>
      </c>
      <c r="AG17" s="1634">
        <v>8117</v>
      </c>
      <c r="AH17" s="1634">
        <v>3027</v>
      </c>
      <c r="AI17" s="1634">
        <v>125939012451</v>
      </c>
      <c r="AJ17" s="1634">
        <v>85532931</v>
      </c>
      <c r="AK17" s="1634">
        <v>42236110</v>
      </c>
      <c r="AL17" s="1634">
        <v>31711999</v>
      </c>
      <c r="AM17" s="1634">
        <v>23255</v>
      </c>
      <c r="AN17" s="1634">
        <v>8796</v>
      </c>
      <c r="AO17" s="1634">
        <v>649322778212</v>
      </c>
      <c r="AP17" s="1634">
        <v>475466433</v>
      </c>
      <c r="AQ17" s="1634">
        <v>172662152</v>
      </c>
      <c r="AR17" s="1634">
        <v>1089479</v>
      </c>
      <c r="AS17" s="1634">
        <v>18</v>
      </c>
      <c r="AT17" s="1634">
        <v>1643</v>
      </c>
      <c r="AU17" s="1634">
        <v>0</v>
      </c>
      <c r="AV17" s="1634">
        <v>11236874561</v>
      </c>
      <c r="AW17" s="1634">
        <v>1212592</v>
      </c>
      <c r="AX17" s="1634">
        <v>15993363</v>
      </c>
      <c r="AY17" s="1634">
        <v>0</v>
      </c>
    </row>
    <row r="18" spans="1:51" s="8" customFormat="1" ht="23.25" customHeight="1">
      <c r="A18" s="866"/>
      <c r="B18" s="1993"/>
      <c r="C18" s="995">
        <f>情報!$B$3</f>
        <v>2</v>
      </c>
      <c r="D18" s="1734">
        <f t="shared" si="0"/>
        <v>17812.232</v>
      </c>
      <c r="E18" s="1315">
        <f>IF(ISERROR(D18/D17),"－",ROUND(D18/D17*100,1))</f>
        <v>87.1</v>
      </c>
      <c r="F18" s="1734">
        <f t="shared" si="1"/>
        <v>478902084.26700002</v>
      </c>
      <c r="G18" s="1315">
        <f>IF(ISERROR(F18/F17),"－",ROUND(F18/F17*100,1))</f>
        <v>94.1</v>
      </c>
      <c r="H18" s="1734">
        <f t="shared" si="2"/>
        <v>9917.973</v>
      </c>
      <c r="I18" s="1315">
        <f>IF(ISERROR(H18/H17),"－",ROUND(H18/H17*100,1))</f>
        <v>88.6</v>
      </c>
      <c r="J18" s="1734">
        <f t="shared" si="3"/>
        <v>120424000.72499999</v>
      </c>
      <c r="K18" s="1315">
        <f>IF(ISERROR(J18/J17),"－",ROUND(J18/J17*100,1))</f>
        <v>95.5</v>
      </c>
      <c r="L18" s="1734">
        <f t="shared" si="4"/>
        <v>27829.708999999999</v>
      </c>
      <c r="M18" s="1315">
        <f>IF(ISERROR(L18/L17),"－",ROUND(L18/L17*100,1))</f>
        <v>87.7</v>
      </c>
      <c r="N18" s="1734">
        <f t="shared" si="5"/>
        <v>614931520.449</v>
      </c>
      <c r="O18" s="1315">
        <f>IF(ISERROR(N18/N17),"－",ROUND(N18/N17*100,1))</f>
        <v>94.6</v>
      </c>
      <c r="P18" s="1734">
        <f t="shared" si="6"/>
        <v>880.476</v>
      </c>
      <c r="Q18" s="1315">
        <f>IF(ISERROR(P18/P17),"－",ROUND(P18/P17*100,1))</f>
        <v>80.7</v>
      </c>
      <c r="R18" s="1734">
        <f t="shared" si="7"/>
        <v>9411033.7530000005</v>
      </c>
      <c r="S18" s="1315">
        <f>IF(ISERROR(R18/R17),"－",ROUND(R18/R17*100,1))</f>
        <v>83.6</v>
      </c>
      <c r="T18" s="1734">
        <f t="shared" si="8"/>
        <v>28710.184999999998</v>
      </c>
      <c r="U18" s="1315">
        <f>IF(ISERROR(T18/T17),"－",ROUND(T18/T17*100,1))</f>
        <v>87.4</v>
      </c>
      <c r="V18" s="1734">
        <f t="shared" si="9"/>
        <v>624342554.20200002</v>
      </c>
      <c r="W18" s="1315">
        <f>IF(ISERROR(V18/V17),"－",ROUND(V18/V17*100,1))</f>
        <v>94.4</v>
      </c>
      <c r="Z18" s="1634">
        <v>17811832</v>
      </c>
      <c r="AA18" s="1634">
        <v>157</v>
      </c>
      <c r="AB18" s="1634">
        <v>243</v>
      </c>
      <c r="AC18" s="1634">
        <v>478890354258</v>
      </c>
      <c r="AD18" s="1634">
        <v>7599389</v>
      </c>
      <c r="AE18" s="1634">
        <v>4130620</v>
      </c>
      <c r="AF18" s="1634">
        <v>9917789</v>
      </c>
      <c r="AG18" s="1634">
        <v>105</v>
      </c>
      <c r="AH18" s="1634">
        <v>79</v>
      </c>
      <c r="AI18" s="1634">
        <v>120421991375</v>
      </c>
      <c r="AJ18" s="1634">
        <v>1290040</v>
      </c>
      <c r="AK18" s="1634">
        <v>719310</v>
      </c>
      <c r="AL18" s="1634">
        <v>27829122</v>
      </c>
      <c r="AM18" s="1634">
        <v>264</v>
      </c>
      <c r="AN18" s="1634">
        <v>323</v>
      </c>
      <c r="AO18" s="1634">
        <v>614917211299</v>
      </c>
      <c r="AP18" s="1634">
        <v>9345965</v>
      </c>
      <c r="AQ18" s="1634">
        <v>4963185</v>
      </c>
      <c r="AR18" s="1634">
        <v>880363</v>
      </c>
      <c r="AS18" s="1634">
        <v>13</v>
      </c>
      <c r="AT18" s="1634">
        <v>100</v>
      </c>
      <c r="AU18" s="1634">
        <v>0</v>
      </c>
      <c r="AV18" s="1634">
        <v>9409395889</v>
      </c>
      <c r="AW18" s="1634">
        <v>720773</v>
      </c>
      <c r="AX18" s="1634">
        <v>917091</v>
      </c>
      <c r="AY18" s="1634">
        <v>0</v>
      </c>
    </row>
    <row r="19" spans="1:51" s="8" customFormat="1" ht="23.25" customHeight="1">
      <c r="A19" s="866"/>
      <c r="B19" s="1994"/>
      <c r="C19" s="1195">
        <f>情報!$B$2</f>
        <v>3</v>
      </c>
      <c r="D19" s="1108">
        <f>(Z19+AA19+AB19)/1000</f>
        <v>18994.304</v>
      </c>
      <c r="E19" s="1315">
        <f>IF(ISERROR(D19/D18),"－",ROUND(D19/D18*100,1))</f>
        <v>106.6</v>
      </c>
      <c r="F19" s="1108">
        <f>(AC19+AD19+AE19)/1000</f>
        <v>517641784.15799999</v>
      </c>
      <c r="G19" s="1315">
        <f>IF(ISERROR(F19/F18),"－",ROUND(F19/F18*100,1))</f>
        <v>108.1</v>
      </c>
      <c r="H19" s="1108">
        <f>(AF19+AG19+AH19)/1000</f>
        <v>10422.788</v>
      </c>
      <c r="I19" s="1315">
        <f>IF(ISERROR(H19/H18),"－",ROUND(H19/H18*100,1))</f>
        <v>105.1</v>
      </c>
      <c r="J19" s="1108">
        <f>(AI19+AJ19+AK19)/1000</f>
        <v>122585435.146</v>
      </c>
      <c r="K19" s="1315">
        <f>IF(ISERROR(J19/J18),"－",ROUND(J19/J18*100,1))</f>
        <v>101.8</v>
      </c>
      <c r="L19" s="1108">
        <f>(AL19+AM19+AN19)/1000</f>
        <v>29531.738000000001</v>
      </c>
      <c r="M19" s="1315">
        <f>IF(ISERROR(L19/L18),"－",ROUND(L19/L18*100,1))</f>
        <v>106.1</v>
      </c>
      <c r="N19" s="1108">
        <f>(AO19+AP19+AQ19)/1000</f>
        <v>657274090.73399997</v>
      </c>
      <c r="O19" s="1315">
        <f>IF(ISERROR(N19/N18),"－",ROUND(N19/N18*100,1))</f>
        <v>106.9</v>
      </c>
      <c r="P19" s="1108">
        <f>(AR19+AS19+AT19+AU19)/1000</f>
        <v>920.56399999999996</v>
      </c>
      <c r="Q19" s="1315">
        <f>IF(ISERROR(P19/P18),"－",ROUND(P19/P18*100,1))</f>
        <v>104.6</v>
      </c>
      <c r="R19" s="1108">
        <f>(AV19+AW19+AX19+AY19)/1000</f>
        <v>9660190.0240000002</v>
      </c>
      <c r="S19" s="1315">
        <f>IF(ISERROR(R19/R18),"－",ROUND(R19/R18*100,1))</f>
        <v>102.6</v>
      </c>
      <c r="T19" s="1734">
        <f>L19+P19</f>
        <v>30452.302</v>
      </c>
      <c r="U19" s="1315">
        <f>IF(ISERROR(T19/T18),"－",ROUND(T19/T18*100,1))</f>
        <v>106.1</v>
      </c>
      <c r="V19" s="1734">
        <f>N19+R19</f>
        <v>666934280.75800002</v>
      </c>
      <c r="W19" s="1315">
        <f>IF(ISERROR(V19/V18),"－",ROUND(V19/V18*100,1))</f>
        <v>106.8</v>
      </c>
      <c r="Z19" s="1634">
        <v>18994322</v>
      </c>
      <c r="AA19" s="1634">
        <v>-52</v>
      </c>
      <c r="AB19" s="1634">
        <v>34</v>
      </c>
      <c r="AC19" s="1634">
        <v>517641915105</v>
      </c>
      <c r="AD19" s="1634">
        <v>-458097</v>
      </c>
      <c r="AE19" s="1634">
        <v>327150</v>
      </c>
      <c r="AF19" s="1634">
        <v>10422785</v>
      </c>
      <c r="AG19" s="1634">
        <v>-2</v>
      </c>
      <c r="AH19" s="1634">
        <v>5</v>
      </c>
      <c r="AI19" s="1634">
        <v>122585269996</v>
      </c>
      <c r="AJ19" s="1634">
        <v>82750</v>
      </c>
      <c r="AK19" s="1634">
        <v>82400</v>
      </c>
      <c r="AL19" s="1634">
        <v>29531753</v>
      </c>
      <c r="AM19" s="1634">
        <v>-54</v>
      </c>
      <c r="AN19" s="1634">
        <v>39</v>
      </c>
      <c r="AO19" s="1634">
        <v>657274052691</v>
      </c>
      <c r="AP19" s="1634">
        <v>-371507</v>
      </c>
      <c r="AQ19" s="1634">
        <v>409550</v>
      </c>
      <c r="AR19" s="1634">
        <v>920549</v>
      </c>
      <c r="AS19" s="1634">
        <v>12</v>
      </c>
      <c r="AT19" s="1634">
        <v>3</v>
      </c>
      <c r="AU19" s="1634">
        <v>0</v>
      </c>
      <c r="AV19" s="1634">
        <v>9659036841</v>
      </c>
      <c r="AW19" s="1634">
        <v>1145253</v>
      </c>
      <c r="AX19" s="1634">
        <v>7930</v>
      </c>
      <c r="AY19" s="1634">
        <v>0</v>
      </c>
    </row>
    <row r="20" spans="1:51" s="1304" customFormat="1" ht="12" hidden="1">
      <c r="A20" s="1305"/>
      <c r="B20" s="1980" t="s">
        <v>139</v>
      </c>
      <c r="C20" s="1306">
        <f>情報!$B$5</f>
        <v>30</v>
      </c>
      <c r="D20" s="1303">
        <f t="shared" si="0"/>
        <v>9906.777</v>
      </c>
      <c r="E20" s="1312" t="s">
        <v>433</v>
      </c>
      <c r="F20" s="1735">
        <f t="shared" si="1"/>
        <v>244789374.47999999</v>
      </c>
      <c r="G20" s="1312" t="s">
        <v>433</v>
      </c>
      <c r="H20" s="1735">
        <f t="shared" si="2"/>
        <v>5662.2690000000002</v>
      </c>
      <c r="I20" s="1312" t="s">
        <v>433</v>
      </c>
      <c r="J20" s="1735">
        <f t="shared" si="3"/>
        <v>62338858.016999997</v>
      </c>
      <c r="K20" s="1312" t="s">
        <v>433</v>
      </c>
      <c r="L20" s="1735">
        <f t="shared" si="4"/>
        <v>15618.689</v>
      </c>
      <c r="M20" s="1312" t="s">
        <v>433</v>
      </c>
      <c r="N20" s="1735">
        <f t="shared" si="5"/>
        <v>315435013.065</v>
      </c>
      <c r="O20" s="1312" t="s">
        <v>433</v>
      </c>
      <c r="P20" s="1735">
        <f t="shared" si="6"/>
        <v>410.27199999999999</v>
      </c>
      <c r="Q20" s="1312" t="s">
        <v>433</v>
      </c>
      <c r="R20" s="1735">
        <f t="shared" si="7"/>
        <v>3983222.1740000001</v>
      </c>
      <c r="S20" s="1312" t="s">
        <v>433</v>
      </c>
      <c r="T20" s="1737">
        <f t="shared" si="8"/>
        <v>16028.961000000001</v>
      </c>
      <c r="U20" s="1312" t="s">
        <v>433</v>
      </c>
      <c r="V20" s="1737">
        <f t="shared" si="9"/>
        <v>319418235.23900002</v>
      </c>
      <c r="W20" s="1312" t="s">
        <v>433</v>
      </c>
      <c r="Z20" s="1634">
        <v>9859701</v>
      </c>
      <c r="AA20" s="1634">
        <v>33992</v>
      </c>
      <c r="AB20" s="1634">
        <v>13084</v>
      </c>
      <c r="AC20" s="1634">
        <v>243595524640</v>
      </c>
      <c r="AD20" s="1634">
        <v>972967421</v>
      </c>
      <c r="AE20" s="1634">
        <v>220882419</v>
      </c>
      <c r="AF20" s="1634">
        <v>5635609</v>
      </c>
      <c r="AG20" s="1634">
        <v>19130</v>
      </c>
      <c r="AH20" s="1634">
        <v>7530</v>
      </c>
      <c r="AI20" s="1634">
        <v>62047419611</v>
      </c>
      <c r="AJ20" s="1634">
        <v>212670646</v>
      </c>
      <c r="AK20" s="1634">
        <v>78767760</v>
      </c>
      <c r="AL20" s="1634">
        <v>15544780</v>
      </c>
      <c r="AM20" s="1634">
        <v>53266</v>
      </c>
      <c r="AN20" s="1634">
        <v>20643</v>
      </c>
      <c r="AO20" s="1634">
        <v>313918813019</v>
      </c>
      <c r="AP20" s="1634">
        <v>1213422688</v>
      </c>
      <c r="AQ20" s="1634">
        <v>302777358</v>
      </c>
      <c r="AR20" s="1634">
        <v>408128</v>
      </c>
      <c r="AS20" s="1634">
        <v>12</v>
      </c>
      <c r="AT20" s="1634">
        <v>2132</v>
      </c>
      <c r="AU20" s="1634">
        <v>0</v>
      </c>
      <c r="AV20" s="1634">
        <v>3960916819</v>
      </c>
      <c r="AW20" s="1634">
        <v>3263262</v>
      </c>
      <c r="AX20" s="1634">
        <v>19042093</v>
      </c>
      <c r="AY20" s="1634">
        <v>0</v>
      </c>
    </row>
    <row r="21" spans="1:51" s="8" customFormat="1" ht="19.5" customHeight="1">
      <c r="A21" s="866"/>
      <c r="B21" s="1980"/>
      <c r="C21" s="1196" t="str">
        <f>情報!$B$4</f>
        <v>元</v>
      </c>
      <c r="D21" s="1734">
        <f t="shared" si="0"/>
        <v>9609.6640000000007</v>
      </c>
      <c r="E21" s="1313">
        <f>IF(ISERROR(D21/D20),"－",ROUND(D21/D20*100,1))</f>
        <v>97</v>
      </c>
      <c r="F21" s="1734">
        <f t="shared" si="1"/>
        <v>241751837.236</v>
      </c>
      <c r="G21" s="1313">
        <f>IF(ISERROR(F21/F20),"－",ROUND(F21/F20*100,1))</f>
        <v>98.8</v>
      </c>
      <c r="H21" s="1734">
        <f t="shared" si="2"/>
        <v>5484.5929999999998</v>
      </c>
      <c r="I21" s="1313">
        <f>IF(ISERROR(H21/H20),"－",ROUND(H21/H20*100,1))</f>
        <v>96.9</v>
      </c>
      <c r="J21" s="1734">
        <f t="shared" si="3"/>
        <v>61531329.107000001</v>
      </c>
      <c r="K21" s="1313">
        <f>IF(ISERROR(J21/J20),"－",ROUND(J21/J20*100,1))</f>
        <v>98.7</v>
      </c>
      <c r="L21" s="1734">
        <f t="shared" si="4"/>
        <v>15149.288</v>
      </c>
      <c r="M21" s="1313">
        <f>IF(ISERROR(L21/L20),"－",ROUND(L21/L20*100,1))</f>
        <v>97</v>
      </c>
      <c r="N21" s="1734">
        <f t="shared" si="5"/>
        <v>311861133.37900001</v>
      </c>
      <c r="O21" s="1313">
        <f>IF(ISERROR(N21/N20),"－",ROUND(N21/N20*100,1))</f>
        <v>98.9</v>
      </c>
      <c r="P21" s="1734">
        <f t="shared" si="6"/>
        <v>397.79500000000002</v>
      </c>
      <c r="Q21" s="1313">
        <f>IF(ISERROR(P21/P20),"－",ROUND(P21/P20*100,1))</f>
        <v>97</v>
      </c>
      <c r="R21" s="1734">
        <f t="shared" si="7"/>
        <v>3776674.1490000002</v>
      </c>
      <c r="S21" s="1313">
        <f>IF(ISERROR(R21/R20),"－",ROUND(R21/R20*100,1))</f>
        <v>94.8</v>
      </c>
      <c r="T21" s="1738">
        <f t="shared" si="8"/>
        <v>15547.083000000001</v>
      </c>
      <c r="U21" s="1313">
        <f>IF(ISERROR(T21/T20),"－",ROUND(T21/T20*100,1))</f>
        <v>97</v>
      </c>
      <c r="V21" s="1738">
        <f t="shared" si="9"/>
        <v>315637807.528</v>
      </c>
      <c r="W21" s="1313">
        <f>IF(ISERROR(V21/V20),"－",ROUND(V21/V20*100,1))</f>
        <v>98.8</v>
      </c>
      <c r="Z21" s="1634">
        <v>9601886</v>
      </c>
      <c r="AA21" s="1634">
        <v>5509</v>
      </c>
      <c r="AB21" s="1634">
        <v>2269</v>
      </c>
      <c r="AC21" s="1634">
        <v>241611618414</v>
      </c>
      <c r="AD21" s="1634">
        <v>103769032</v>
      </c>
      <c r="AE21" s="1634">
        <v>36449790</v>
      </c>
      <c r="AF21" s="1634">
        <v>5480141</v>
      </c>
      <c r="AG21" s="1634">
        <v>3118</v>
      </c>
      <c r="AH21" s="1634">
        <v>1334</v>
      </c>
      <c r="AI21" s="1634">
        <v>61487872443</v>
      </c>
      <c r="AJ21" s="1634">
        <v>30345384</v>
      </c>
      <c r="AK21" s="1634">
        <v>13111280</v>
      </c>
      <c r="AL21" s="1634">
        <v>15137025</v>
      </c>
      <c r="AM21" s="1634">
        <v>8657</v>
      </c>
      <c r="AN21" s="1634">
        <v>3606</v>
      </c>
      <c r="AO21" s="1634">
        <v>311673363101</v>
      </c>
      <c r="AP21" s="1634">
        <v>137589830</v>
      </c>
      <c r="AQ21" s="1634">
        <v>50180448</v>
      </c>
      <c r="AR21" s="1634">
        <v>397344</v>
      </c>
      <c r="AS21" s="1634">
        <v>6</v>
      </c>
      <c r="AT21" s="1634">
        <v>445</v>
      </c>
      <c r="AU21" s="1634">
        <v>0</v>
      </c>
      <c r="AV21" s="1634">
        <v>3772625308</v>
      </c>
      <c r="AW21" s="1634">
        <v>322561</v>
      </c>
      <c r="AX21" s="1634">
        <v>3726280</v>
      </c>
      <c r="AY21" s="1634">
        <v>0</v>
      </c>
    </row>
    <row r="22" spans="1:51" s="8" customFormat="1" ht="23.25" customHeight="1">
      <c r="A22" s="866"/>
      <c r="B22" s="1980"/>
      <c r="C22" s="1196">
        <f>情報!$B$3</f>
        <v>2</v>
      </c>
      <c r="D22" s="1734">
        <f t="shared" si="0"/>
        <v>8401.58</v>
      </c>
      <c r="E22" s="1315">
        <f>IF(ISERROR(D22/D21),"－",ROUND(D22/D21*100,1))</f>
        <v>87.4</v>
      </c>
      <c r="F22" s="1734">
        <f t="shared" si="1"/>
        <v>227744706.85299999</v>
      </c>
      <c r="G22" s="1315">
        <f>IF(ISERROR(F22/F21),"－",ROUND(F22/F21*100,1))</f>
        <v>94.2</v>
      </c>
      <c r="H22" s="1734">
        <f t="shared" si="2"/>
        <v>4919.3739999999998</v>
      </c>
      <c r="I22" s="1315">
        <f>IF(ISERROR(H22/H21),"－",ROUND(H22/H21*100,1))</f>
        <v>89.7</v>
      </c>
      <c r="J22" s="1734">
        <f t="shared" si="3"/>
        <v>59276722.583999999</v>
      </c>
      <c r="K22" s="1315">
        <f>IF(ISERROR(J22/J21),"－",ROUND(J22/J21*100,1))</f>
        <v>96.3</v>
      </c>
      <c r="L22" s="1734">
        <f t="shared" si="4"/>
        <v>13380.531000000001</v>
      </c>
      <c r="M22" s="1315">
        <f>IF(ISERROR(L22/L21),"－",ROUND(L22/L21*100,1))</f>
        <v>88.3</v>
      </c>
      <c r="N22" s="1734">
        <f t="shared" si="5"/>
        <v>295850228.47100002</v>
      </c>
      <c r="O22" s="1315">
        <f>IF(ISERROR(N22/N21),"－",ROUND(N22/N21*100,1))</f>
        <v>94.9</v>
      </c>
      <c r="P22" s="1734">
        <f t="shared" si="6"/>
        <v>315.34199999999998</v>
      </c>
      <c r="Q22" s="1315">
        <f>IF(ISERROR(P22/P21),"－",ROUND(P22/P21*100,1))</f>
        <v>79.3</v>
      </c>
      <c r="R22" s="1734">
        <f t="shared" si="7"/>
        <v>3228586.6379999998</v>
      </c>
      <c r="S22" s="1315">
        <f>IF(ISERROR(R22/R21),"－",ROUND(R22/R21*100,1))</f>
        <v>85.5</v>
      </c>
      <c r="T22" s="1734">
        <f t="shared" si="8"/>
        <v>13695.873000000001</v>
      </c>
      <c r="U22" s="1315">
        <f>IF(ISERROR(T22/T21),"－",ROUND(T22/T21*100,1))</f>
        <v>88.1</v>
      </c>
      <c r="V22" s="1734">
        <f t="shared" si="9"/>
        <v>299078815.10900003</v>
      </c>
      <c r="W22" s="1315">
        <f>IF(ISERROR(V22/V21),"－",ROUND(V22/V21*100,1))</f>
        <v>94.8</v>
      </c>
      <c r="Z22" s="1634">
        <v>8401511</v>
      </c>
      <c r="AA22" s="1634">
        <v>25</v>
      </c>
      <c r="AB22" s="1634">
        <v>44</v>
      </c>
      <c r="AC22" s="1634">
        <v>227743513963</v>
      </c>
      <c r="AD22" s="1634">
        <v>952510</v>
      </c>
      <c r="AE22" s="1634">
        <v>240380</v>
      </c>
      <c r="AF22" s="1634">
        <v>4919327</v>
      </c>
      <c r="AG22" s="1634">
        <v>12</v>
      </c>
      <c r="AH22" s="1634">
        <v>35</v>
      </c>
      <c r="AI22" s="1634">
        <v>59276324824</v>
      </c>
      <c r="AJ22" s="1634">
        <v>31660</v>
      </c>
      <c r="AK22" s="1634">
        <v>366100</v>
      </c>
      <c r="AL22" s="1634">
        <v>13380415</v>
      </c>
      <c r="AM22" s="1634">
        <v>37</v>
      </c>
      <c r="AN22" s="1634">
        <v>79</v>
      </c>
      <c r="AO22" s="1634">
        <v>295848638803</v>
      </c>
      <c r="AP22" s="1634">
        <v>983188</v>
      </c>
      <c r="AQ22" s="1634">
        <v>606480</v>
      </c>
      <c r="AR22" s="1634">
        <v>315291</v>
      </c>
      <c r="AS22" s="1634">
        <v>18</v>
      </c>
      <c r="AT22" s="1634">
        <v>33</v>
      </c>
      <c r="AU22" s="1634">
        <v>0</v>
      </c>
      <c r="AV22" s="1634">
        <v>3226525417</v>
      </c>
      <c r="AW22" s="1634">
        <v>1834413</v>
      </c>
      <c r="AX22" s="1634">
        <v>226808</v>
      </c>
      <c r="AY22" s="1634">
        <v>0</v>
      </c>
    </row>
    <row r="23" spans="1:51" s="8" customFormat="1" ht="23.25" customHeight="1" thickBot="1">
      <c r="A23" s="1128"/>
      <c r="B23" s="1981"/>
      <c r="C23" s="1197">
        <f>情報!$B$2</f>
        <v>3</v>
      </c>
      <c r="D23" s="1138">
        <f>(Z23+AA23+AB23)/1000</f>
        <v>8922.7810000000009</v>
      </c>
      <c r="E23" s="1316">
        <f>IF(ISERROR(D23/D22),"－",ROUND(D23/D22*100,1))</f>
        <v>106.2</v>
      </c>
      <c r="F23" s="1138">
        <f>(AC23+AD23+AE23)/1000</f>
        <v>243205222.83899999</v>
      </c>
      <c r="G23" s="1316">
        <f>IF(ISERROR(F23/F22),"－",ROUND(F23/F22*100,1))</f>
        <v>106.8</v>
      </c>
      <c r="H23" s="1138">
        <f>(AF23+AG23+AH23)/1000</f>
        <v>5136.7</v>
      </c>
      <c r="I23" s="1316">
        <f>IF(ISERROR(H23/H22),"－",ROUND(H23/H22*100,1))</f>
        <v>104.4</v>
      </c>
      <c r="J23" s="1138">
        <f>(AI23+AJ23+AK23)/1000</f>
        <v>60567787.799999997</v>
      </c>
      <c r="K23" s="1316">
        <f>IF(ISERROR(J23/J22),"－",ROUND(J23/J22*100,1))</f>
        <v>102.2</v>
      </c>
      <c r="L23" s="1138">
        <f>(AL23+AM23+AN23)/1000</f>
        <v>14126.471</v>
      </c>
      <c r="M23" s="1316">
        <f>IF(ISERROR(L23/L22),"－",ROUND(L23/L22*100,1))</f>
        <v>105.6</v>
      </c>
      <c r="N23" s="1138">
        <f>(AO23+AP23+AQ23)/1000</f>
        <v>313164303.43800002</v>
      </c>
      <c r="O23" s="1316">
        <f>IF(ISERROR(N23/N22),"－",ROUND(N23/N22*100,1))</f>
        <v>105.9</v>
      </c>
      <c r="P23" s="1138">
        <f>(AR23+AS23+AT23+AU23)/1000</f>
        <v>329.608</v>
      </c>
      <c r="Q23" s="1316">
        <f>IF(ISERROR(P23/P22),"－",ROUND(P23/P22*100,1))</f>
        <v>104.5</v>
      </c>
      <c r="R23" s="1138">
        <f>(AV23+AW23+AX23+AY23)/1000</f>
        <v>3263490.4640000002</v>
      </c>
      <c r="S23" s="1316">
        <f>IF(ISERROR(R23/R22),"－",ROUND(R23/R22*100,1))</f>
        <v>101.1</v>
      </c>
      <c r="T23" s="1739">
        <f>L23+P23</f>
        <v>14456.079</v>
      </c>
      <c r="U23" s="1316">
        <f>IF(ISERROR(T23/T22),"－",ROUND(T23/T22*100,1))</f>
        <v>105.6</v>
      </c>
      <c r="V23" s="1739">
        <f>N23+R23</f>
        <v>316427793.90200001</v>
      </c>
      <c r="W23" s="1316">
        <f>IF(ISERROR(V23/V22),"－",ROUND(V23/V22*100,1))</f>
        <v>105.8</v>
      </c>
      <c r="Z23" s="1634">
        <v>8922786</v>
      </c>
      <c r="AA23" s="1634">
        <v>-5</v>
      </c>
      <c r="AB23" s="1634">
        <v>0</v>
      </c>
      <c r="AC23" s="1634">
        <v>243205358379</v>
      </c>
      <c r="AD23" s="1634">
        <v>-118150</v>
      </c>
      <c r="AE23" s="1634">
        <v>-17390</v>
      </c>
      <c r="AF23" s="1634">
        <v>5136703</v>
      </c>
      <c r="AG23" s="1634">
        <v>-1</v>
      </c>
      <c r="AH23" s="1634">
        <v>-2</v>
      </c>
      <c r="AI23" s="1634">
        <v>60567824590</v>
      </c>
      <c r="AJ23" s="1634">
        <v>-8170</v>
      </c>
      <c r="AK23" s="1634">
        <v>-28620</v>
      </c>
      <c r="AL23" s="1634">
        <v>14126479</v>
      </c>
      <c r="AM23" s="1634">
        <v>-6</v>
      </c>
      <c r="AN23" s="1634">
        <v>-2</v>
      </c>
      <c r="AO23" s="1634">
        <v>313164475768</v>
      </c>
      <c r="AP23" s="1634">
        <v>-126320</v>
      </c>
      <c r="AQ23" s="1634">
        <v>-46010</v>
      </c>
      <c r="AR23" s="1634">
        <v>329598</v>
      </c>
      <c r="AS23" s="1634">
        <v>10</v>
      </c>
      <c r="AT23" s="1634">
        <v>0</v>
      </c>
      <c r="AU23" s="1634">
        <v>0</v>
      </c>
      <c r="AV23" s="1634">
        <v>3258154214</v>
      </c>
      <c r="AW23" s="1634">
        <v>5336250</v>
      </c>
      <c r="AX23" s="1634">
        <v>0</v>
      </c>
      <c r="AY23" s="1634">
        <v>0</v>
      </c>
    </row>
    <row r="24" spans="1:51" s="1304" customFormat="1" ht="13.8" hidden="1" thickTop="1">
      <c r="A24" s="1982" t="s">
        <v>155</v>
      </c>
      <c r="B24" s="1983"/>
      <c r="C24" s="1310">
        <f>情報!$B$5</f>
        <v>30</v>
      </c>
      <c r="D24" s="1303">
        <f>(Z24)/1000</f>
        <v>10451.472</v>
      </c>
      <c r="E24" s="1312" t="s">
        <v>433</v>
      </c>
      <c r="F24" s="1735">
        <f>(AC24)/1000</f>
        <v>196544026.079</v>
      </c>
      <c r="G24" s="1312" t="s">
        <v>433</v>
      </c>
      <c r="H24" s="1735">
        <f>(AF24)/1000</f>
        <v>5281.674</v>
      </c>
      <c r="I24" s="1312" t="s">
        <v>433</v>
      </c>
      <c r="J24" s="1735">
        <f>(AI24)/1000</f>
        <v>48243075.608999997</v>
      </c>
      <c r="K24" s="1312" t="s">
        <v>433</v>
      </c>
      <c r="L24" s="1735">
        <f>(AL24)/1000</f>
        <v>15743.617</v>
      </c>
      <c r="M24" s="1312" t="s">
        <v>433</v>
      </c>
      <c r="N24" s="1735">
        <f>(AO24)/1000</f>
        <v>247607126.65900001</v>
      </c>
      <c r="O24" s="1312" t="s">
        <v>433</v>
      </c>
      <c r="P24" s="1735">
        <f>(AR24+AS24)/1000</f>
        <v>514.23900000000003</v>
      </c>
      <c r="Q24" s="1312" t="s">
        <v>433</v>
      </c>
      <c r="R24" s="1735">
        <f>(AV24+AW24)/1000</f>
        <v>3757442.7069999999</v>
      </c>
      <c r="S24" s="1312" t="s">
        <v>433</v>
      </c>
      <c r="T24" s="1737">
        <f t="shared" si="8"/>
        <v>16257.856</v>
      </c>
      <c r="U24" s="1312" t="s">
        <v>433</v>
      </c>
      <c r="V24" s="1735">
        <f>N24+R24</f>
        <v>251364569.366</v>
      </c>
      <c r="W24" s="1312" t="s">
        <v>433</v>
      </c>
      <c r="X24" s="1308"/>
      <c r="Z24" s="1634">
        <v>10451472</v>
      </c>
      <c r="AA24" s="1635" t="s">
        <v>211</v>
      </c>
      <c r="AB24" s="1635" t="s">
        <v>211</v>
      </c>
      <c r="AC24" s="1634">
        <v>196544026079</v>
      </c>
      <c r="AD24" s="1635" t="s">
        <v>211</v>
      </c>
      <c r="AE24" s="1635" t="s">
        <v>211</v>
      </c>
      <c r="AF24" s="1634">
        <v>5281674</v>
      </c>
      <c r="AG24" s="1635" t="s">
        <v>211</v>
      </c>
      <c r="AH24" s="1635" t="s">
        <v>211</v>
      </c>
      <c r="AI24" s="1634">
        <v>48243075609</v>
      </c>
      <c r="AJ24" s="1635" t="s">
        <v>211</v>
      </c>
      <c r="AK24" s="1635" t="s">
        <v>211</v>
      </c>
      <c r="AL24" s="1634">
        <v>15743617</v>
      </c>
      <c r="AM24" s="1635" t="s">
        <v>211</v>
      </c>
      <c r="AN24" s="1635" t="s">
        <v>211</v>
      </c>
      <c r="AO24" s="1634">
        <v>247607126659</v>
      </c>
      <c r="AP24" s="1635" t="s">
        <v>211</v>
      </c>
      <c r="AQ24" s="1635" t="s">
        <v>211</v>
      </c>
      <c r="AR24" s="1634">
        <v>514235</v>
      </c>
      <c r="AS24" s="1634">
        <v>4</v>
      </c>
      <c r="AT24" s="1635" t="s">
        <v>211</v>
      </c>
      <c r="AU24" s="1635" t="s">
        <v>211</v>
      </c>
      <c r="AV24" s="1634">
        <v>3757097674</v>
      </c>
      <c r="AW24" s="1634">
        <v>345033</v>
      </c>
      <c r="AX24" s="1635" t="s">
        <v>211</v>
      </c>
      <c r="AY24" s="1635" t="s">
        <v>211</v>
      </c>
    </row>
    <row r="25" spans="1:51" s="8" customFormat="1" ht="23.25" customHeight="1" thickTop="1">
      <c r="A25" s="1982"/>
      <c r="B25" s="1983"/>
      <c r="C25" s="994" t="str">
        <f>情報!$B$4</f>
        <v>元</v>
      </c>
      <c r="D25" s="1734">
        <f>(Z25)/1000</f>
        <v>10370.906000000001</v>
      </c>
      <c r="E25" s="1313">
        <f>IF(ISERROR(D25/D24),"－",ROUND(D25/D24*100,1))</f>
        <v>99.2</v>
      </c>
      <c r="F25" s="1734">
        <f>(AC25)/1000</f>
        <v>198018560.29499999</v>
      </c>
      <c r="G25" s="1313">
        <f>IF(ISERROR(F25/F24),"－",ROUND(F25/F24*100,1))</f>
        <v>100.8</v>
      </c>
      <c r="H25" s="1734">
        <f>(AF25)/1000</f>
        <v>5242.8639999999996</v>
      </c>
      <c r="I25" s="1313">
        <f>IF(ISERROR(H25/H24),"－",ROUND(H25/H24*100,1))</f>
        <v>99.3</v>
      </c>
      <c r="J25" s="1734">
        <f>(AI25)/1000</f>
        <v>49625276.689000003</v>
      </c>
      <c r="K25" s="1313">
        <f>IF(ISERROR(J25/J24),"－",ROUND(J25/J24*100,1))</f>
        <v>102.9</v>
      </c>
      <c r="L25" s="1734">
        <f>(AL25)/1000</f>
        <v>15625.557000000001</v>
      </c>
      <c r="M25" s="1313">
        <f>IF(ISERROR(L25/L24),"－",ROUND(L25/L24*100,1))</f>
        <v>99.3</v>
      </c>
      <c r="N25" s="1734">
        <f>(AO25)/1000</f>
        <v>250542178.683</v>
      </c>
      <c r="O25" s="1313">
        <f>IF(ISERROR(N25/N24),"－",ROUND(N25/N24*100,1))</f>
        <v>101.2</v>
      </c>
      <c r="P25" s="1734">
        <f>(AR25+AS25)/1000</f>
        <v>504.64400000000001</v>
      </c>
      <c r="Q25" s="1313">
        <f>IF(ISERROR(P25/P24),"－",ROUND(P25/P24*100,1))</f>
        <v>98.1</v>
      </c>
      <c r="R25" s="1734">
        <f>(AV25+AW25)/1000</f>
        <v>3690070.8569999998</v>
      </c>
      <c r="S25" s="1313">
        <f>IF(ISERROR(R25/R24),"－",ROUND(R25/R24*100,1))</f>
        <v>98.2</v>
      </c>
      <c r="T25" s="1734">
        <f t="shared" si="8"/>
        <v>16130.201000000001</v>
      </c>
      <c r="U25" s="1313">
        <f>IF(ISERROR(T25/T24),"－",ROUND(T25/T24*100,1))</f>
        <v>99.2</v>
      </c>
      <c r="V25" s="1734">
        <f t="shared" si="9"/>
        <v>254232249.53999999</v>
      </c>
      <c r="W25" s="1313">
        <f>IF(ISERROR(V25/V24),"－",ROUND(V25/V24*100,1))</f>
        <v>101.1</v>
      </c>
      <c r="X25" s="12"/>
      <c r="Z25" s="1634">
        <v>10370906</v>
      </c>
      <c r="AA25" s="1635" t="s">
        <v>211</v>
      </c>
      <c r="AB25" s="1635" t="s">
        <v>211</v>
      </c>
      <c r="AC25" s="1634">
        <v>198018560295</v>
      </c>
      <c r="AD25" s="1635" t="s">
        <v>211</v>
      </c>
      <c r="AE25" s="1635" t="s">
        <v>211</v>
      </c>
      <c r="AF25" s="1634">
        <v>5242864</v>
      </c>
      <c r="AG25" s="1635" t="s">
        <v>211</v>
      </c>
      <c r="AH25" s="1635" t="s">
        <v>211</v>
      </c>
      <c r="AI25" s="1634">
        <v>49625276689</v>
      </c>
      <c r="AJ25" s="1635" t="s">
        <v>211</v>
      </c>
      <c r="AK25" s="1635" t="s">
        <v>211</v>
      </c>
      <c r="AL25" s="1634">
        <v>15625557</v>
      </c>
      <c r="AM25" s="1635" t="s">
        <v>211</v>
      </c>
      <c r="AN25" s="1635" t="s">
        <v>211</v>
      </c>
      <c r="AO25" s="1634">
        <v>250542178683</v>
      </c>
      <c r="AP25" s="1635" t="s">
        <v>211</v>
      </c>
      <c r="AQ25" s="1635" t="s">
        <v>211</v>
      </c>
      <c r="AR25" s="1634">
        <v>504636</v>
      </c>
      <c r="AS25" s="1634">
        <v>8</v>
      </c>
      <c r="AT25" s="1635" t="s">
        <v>211</v>
      </c>
      <c r="AU25" s="1635" t="s">
        <v>211</v>
      </c>
      <c r="AV25" s="1634">
        <v>3689636904</v>
      </c>
      <c r="AW25" s="1634">
        <v>433953</v>
      </c>
      <c r="AX25" s="1635" t="s">
        <v>211</v>
      </c>
      <c r="AY25" s="1635" t="s">
        <v>211</v>
      </c>
    </row>
    <row r="26" spans="1:51" s="8" customFormat="1" ht="23.25" customHeight="1">
      <c r="A26" s="1982"/>
      <c r="B26" s="1983"/>
      <c r="C26" s="995">
        <f>情報!$B$3</f>
        <v>2</v>
      </c>
      <c r="D26" s="1734">
        <f t="shared" ref="D26:D27" si="10">(Z26)/1000</f>
        <v>9242.357</v>
      </c>
      <c r="E26" s="1315">
        <f>IF(ISERROR(D26/D25),"－",ROUND(D26/D25*100,1))</f>
        <v>89.1</v>
      </c>
      <c r="F26" s="1734">
        <f t="shared" ref="F26:F27" si="11">(AC26)/1000</f>
        <v>187635055.83899999</v>
      </c>
      <c r="G26" s="1315">
        <f>IF(ISERROR(F26/F25),"－",ROUND(F26/F25*100,1))</f>
        <v>94.8</v>
      </c>
      <c r="H26" s="1734">
        <f t="shared" ref="H26:H27" si="12">(AF26)/1000</f>
        <v>4635.277</v>
      </c>
      <c r="I26" s="1315">
        <f>IF(ISERROR(H26/H25),"－",ROUND(H26/H25*100,1))</f>
        <v>88.4</v>
      </c>
      <c r="J26" s="1734">
        <f>(AI26)/1000</f>
        <v>47551597.913999997</v>
      </c>
      <c r="K26" s="1315">
        <f>IF(ISERROR(J26/J25),"－",ROUND(J26/J25*100,1))</f>
        <v>95.8</v>
      </c>
      <c r="L26" s="1734">
        <f t="shared" ref="L26:L27" si="13">(AL26)/1000</f>
        <v>13890.821</v>
      </c>
      <c r="M26" s="1315">
        <f>IF(ISERROR(L26/L25),"－",ROUND(L26/L25*100,1))</f>
        <v>88.9</v>
      </c>
      <c r="N26" s="1734">
        <f t="shared" ref="N26:N27" si="14">(AO26)/1000</f>
        <v>238007325.896</v>
      </c>
      <c r="O26" s="1315">
        <f>IF(ISERROR(N26/N25),"－",ROUND(N26/N25*100,1))</f>
        <v>95</v>
      </c>
      <c r="P26" s="1734">
        <f t="shared" ref="P26:P27" si="15">(AR26+AS26)/1000</f>
        <v>439.20499999999998</v>
      </c>
      <c r="Q26" s="1315">
        <f>IF(ISERROR(P26/P25),"－",ROUND(P26/P25*100,1))</f>
        <v>87</v>
      </c>
      <c r="R26" s="1734">
        <f t="shared" ref="R26:R27" si="16">(AV26+AW26)/1000</f>
        <v>3289160.4670000002</v>
      </c>
      <c r="S26" s="1315">
        <f>IF(ISERROR(R26/R25),"－",ROUND(R26/R25*100,1))</f>
        <v>89.1</v>
      </c>
      <c r="T26" s="1734">
        <f t="shared" si="8"/>
        <v>14330.026</v>
      </c>
      <c r="U26" s="1315">
        <f>IF(ISERROR(T26/T25),"－",ROUND(T26/T25*100,1))</f>
        <v>88.8</v>
      </c>
      <c r="V26" s="1734">
        <f t="shared" si="9"/>
        <v>241296486.36300001</v>
      </c>
      <c r="W26" s="1315">
        <f>IF(ISERROR(V26/V25),"－",ROUND(V26/V25*100,1))</f>
        <v>94.9</v>
      </c>
      <c r="X26" s="12"/>
      <c r="Z26" s="1634">
        <v>9242357</v>
      </c>
      <c r="AA26" s="1635" t="s">
        <v>211</v>
      </c>
      <c r="AB26" s="1635" t="s">
        <v>211</v>
      </c>
      <c r="AC26" s="1634">
        <v>187635055839</v>
      </c>
      <c r="AD26" s="1635" t="s">
        <v>211</v>
      </c>
      <c r="AE26" s="1635" t="s">
        <v>211</v>
      </c>
      <c r="AF26" s="1634">
        <v>4635277</v>
      </c>
      <c r="AG26" s="1635" t="s">
        <v>211</v>
      </c>
      <c r="AH26" s="1635" t="s">
        <v>211</v>
      </c>
      <c r="AI26" s="1634">
        <v>47551597914</v>
      </c>
      <c r="AJ26" s="1635" t="s">
        <v>211</v>
      </c>
      <c r="AK26" s="1635" t="s">
        <v>211</v>
      </c>
      <c r="AL26" s="1634">
        <v>13890821</v>
      </c>
      <c r="AM26" s="1635" t="s">
        <v>211</v>
      </c>
      <c r="AN26" s="1635" t="s">
        <v>211</v>
      </c>
      <c r="AO26" s="1634">
        <v>238007325896</v>
      </c>
      <c r="AP26" s="1635" t="s">
        <v>211</v>
      </c>
      <c r="AQ26" s="1635" t="s">
        <v>211</v>
      </c>
      <c r="AR26" s="1634">
        <v>439203</v>
      </c>
      <c r="AS26" s="1634">
        <v>2</v>
      </c>
      <c r="AT26" s="1635" t="s">
        <v>211</v>
      </c>
      <c r="AU26" s="1635" t="s">
        <v>211</v>
      </c>
      <c r="AV26" s="1634">
        <v>3289041625</v>
      </c>
      <c r="AW26" s="1634">
        <v>118842</v>
      </c>
      <c r="AX26" s="1635" t="s">
        <v>211</v>
      </c>
      <c r="AY26" s="1635" t="s">
        <v>211</v>
      </c>
    </row>
    <row r="27" spans="1:51" s="8" customFormat="1" ht="23.25" customHeight="1">
      <c r="A27" s="1984"/>
      <c r="B27" s="1985"/>
      <c r="C27" s="1194">
        <f>情報!$B$2</f>
        <v>3</v>
      </c>
      <c r="D27" s="1734">
        <f t="shared" si="10"/>
        <v>9914.0040000000008</v>
      </c>
      <c r="E27" s="1315">
        <f>IF(ISERROR(D27/D26),"－",ROUND(D27/D26*100,1))</f>
        <v>107.3</v>
      </c>
      <c r="F27" s="1734">
        <f t="shared" si="11"/>
        <v>204475063.88299999</v>
      </c>
      <c r="G27" s="1315">
        <f>IF(ISERROR(F27/F26),"－",ROUND(F27/F26*100,1))</f>
        <v>109</v>
      </c>
      <c r="H27" s="1734">
        <f t="shared" si="12"/>
        <v>4966.1779999999999</v>
      </c>
      <c r="I27" s="1315">
        <f>IF(ISERROR(H27/H26),"－",ROUND(H27/H26*100,1))</f>
        <v>107.1</v>
      </c>
      <c r="J27" s="1734">
        <f t="shared" ref="J27" si="17">(AI27)/1000</f>
        <v>49558589.092</v>
      </c>
      <c r="K27" s="1315">
        <f>IF(ISERROR(J27/J26),"－",ROUND(J27/J26*100,1))</f>
        <v>104.2</v>
      </c>
      <c r="L27" s="1734">
        <f t="shared" si="13"/>
        <v>14895.248</v>
      </c>
      <c r="M27" s="1315">
        <f>IF(ISERROR(L27/L26),"－",ROUND(L27/L26*100,1))</f>
        <v>107.2</v>
      </c>
      <c r="N27" s="1734">
        <f t="shared" si="14"/>
        <v>256988119.317</v>
      </c>
      <c r="O27" s="1315">
        <f>IF(ISERROR(N27/N26),"－",ROUND(N27/N26*100,1))</f>
        <v>108</v>
      </c>
      <c r="P27" s="1734">
        <f t="shared" si="15"/>
        <v>461.06400000000002</v>
      </c>
      <c r="Q27" s="1315">
        <f>IF(ISERROR(P27/P26),"－",ROUND(P27/P26*100,1))</f>
        <v>105</v>
      </c>
      <c r="R27" s="1734">
        <f t="shared" si="16"/>
        <v>3415020.84</v>
      </c>
      <c r="S27" s="1315">
        <f>IF(ISERROR(R27/R26),"－",ROUND(R27/R26*100,1))</f>
        <v>103.8</v>
      </c>
      <c r="T27" s="1734">
        <f>L27+P27</f>
        <v>15356.312</v>
      </c>
      <c r="U27" s="1315">
        <f>IF(ISERROR(T27/T26),"－",ROUND(T27/T26*100,1))</f>
        <v>107.2</v>
      </c>
      <c r="V27" s="1734">
        <f>N27+R27</f>
        <v>260403140.15700001</v>
      </c>
      <c r="W27" s="1315">
        <f>IF(ISERROR(V27/V26),"－",ROUND(V27/V26*100,1))</f>
        <v>107.9</v>
      </c>
      <c r="Z27" s="1634">
        <v>9914004</v>
      </c>
      <c r="AA27" s="1635" t="s">
        <v>211</v>
      </c>
      <c r="AB27" s="1635" t="s">
        <v>211</v>
      </c>
      <c r="AC27" s="1634">
        <v>204475063883</v>
      </c>
      <c r="AD27" s="1635" t="s">
        <v>211</v>
      </c>
      <c r="AE27" s="1635" t="s">
        <v>211</v>
      </c>
      <c r="AF27" s="1634">
        <v>4966178</v>
      </c>
      <c r="AG27" s="1635" t="s">
        <v>211</v>
      </c>
      <c r="AH27" s="1635" t="s">
        <v>211</v>
      </c>
      <c r="AI27" s="1634">
        <v>49558589092</v>
      </c>
      <c r="AJ27" s="1635" t="s">
        <v>211</v>
      </c>
      <c r="AK27" s="1635" t="s">
        <v>211</v>
      </c>
      <c r="AL27" s="1634">
        <v>14895248</v>
      </c>
      <c r="AM27" s="1635" t="s">
        <v>211</v>
      </c>
      <c r="AN27" s="1635" t="s">
        <v>211</v>
      </c>
      <c r="AO27" s="1634">
        <v>256988119317</v>
      </c>
      <c r="AP27" s="1635" t="s">
        <v>211</v>
      </c>
      <c r="AQ27" s="1635" t="s">
        <v>211</v>
      </c>
      <c r="AR27" s="1634">
        <v>461060</v>
      </c>
      <c r="AS27" s="1634">
        <v>4</v>
      </c>
      <c r="AT27" s="1635" t="s">
        <v>211</v>
      </c>
      <c r="AU27" s="1635" t="s">
        <v>211</v>
      </c>
      <c r="AV27" s="1634">
        <v>3414759850</v>
      </c>
      <c r="AW27" s="1634">
        <v>260990</v>
      </c>
      <c r="AX27" s="1635" t="s">
        <v>211</v>
      </c>
      <c r="AY27" s="1635" t="s">
        <v>211</v>
      </c>
    </row>
    <row r="28" spans="1:51" s="8" customFormat="1" ht="21.6" customHeight="1">
      <c r="B28" s="45" t="s">
        <v>564</v>
      </c>
      <c r="N28" s="879"/>
    </row>
    <row r="29" spans="1:51" s="8" customFormat="1" ht="18" customHeight="1">
      <c r="B29" s="45" t="s">
        <v>565</v>
      </c>
      <c r="N29" s="863"/>
    </row>
    <row r="30" spans="1:51" s="8" customFormat="1" ht="18" customHeight="1">
      <c r="B30" s="8" t="s">
        <v>156</v>
      </c>
    </row>
    <row r="31" spans="1:51" ht="14.1" customHeight="1"/>
    <row r="32" spans="1:51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</sheetData>
  <sheetProtection selectLockedCells="1" selectUnlockedCells="1"/>
  <mergeCells count="37">
    <mergeCell ref="A11:B15"/>
    <mergeCell ref="B20:B23"/>
    <mergeCell ref="A24:B27"/>
    <mergeCell ref="A8:B10"/>
    <mergeCell ref="B17:B19"/>
    <mergeCell ref="D8:O8"/>
    <mergeCell ref="P8:S8"/>
    <mergeCell ref="T8:W8"/>
    <mergeCell ref="D9:G9"/>
    <mergeCell ref="H9:K9"/>
    <mergeCell ref="L9:O9"/>
    <mergeCell ref="Z12:Z14"/>
    <mergeCell ref="AA12:AA14"/>
    <mergeCell ref="AB12:AB14"/>
    <mergeCell ref="AC12:AC14"/>
    <mergeCell ref="AD12:AD14"/>
    <mergeCell ref="AE12:AE14"/>
    <mergeCell ref="AF12:AF14"/>
    <mergeCell ref="AG12:AG14"/>
    <mergeCell ref="AH12:AH14"/>
    <mergeCell ref="AI12:AI14"/>
    <mergeCell ref="AJ12:AJ14"/>
    <mergeCell ref="AK12:AK14"/>
    <mergeCell ref="AL12:AL14"/>
    <mergeCell ref="AM12:AM14"/>
    <mergeCell ref="AN12:AN14"/>
    <mergeCell ref="AO12:AO14"/>
    <mergeCell ref="AP12:AP14"/>
    <mergeCell ref="AQ12:AQ14"/>
    <mergeCell ref="AR12:AR14"/>
    <mergeCell ref="AS12:AS14"/>
    <mergeCell ref="AY12:AY14"/>
    <mergeCell ref="AT12:AT14"/>
    <mergeCell ref="AU12:AU14"/>
    <mergeCell ref="AV12:AV14"/>
    <mergeCell ref="AW12:AW14"/>
    <mergeCell ref="AX12:AX14"/>
  </mergeCells>
  <phoneticPr fontId="27"/>
  <pageMargins left="0.78740157480314965" right="0.78740157480314965" top="0.78740157480314965" bottom="0.59055118110236227" header="0.51181102362204722" footer="0.39370078740157483"/>
  <pageSetup paperSize="9" scale="75" firstPageNumber="44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J60"/>
  <sheetViews>
    <sheetView showGridLines="0" view="pageBreakPreview" zoomScaleNormal="115" zoomScaleSheetLayoutView="100" workbookViewId="0"/>
  </sheetViews>
  <sheetFormatPr defaultColWidth="9" defaultRowHeight="13.2"/>
  <cols>
    <col min="1" max="1" width="2.44140625" style="3" customWidth="1" collapsed="1"/>
    <col min="2" max="2" width="4.21875" style="3" customWidth="1" collapsed="1"/>
    <col min="3" max="3" width="5.33203125" style="3" customWidth="1" collapsed="1"/>
    <col min="4" max="4" width="12.33203125" style="3" customWidth="1" collapsed="1"/>
    <col min="5" max="5" width="5.33203125" style="3" customWidth="1" collapsed="1"/>
    <col min="6" max="6" width="12" style="3" customWidth="1" collapsed="1"/>
    <col min="7" max="7" width="7.44140625" style="3" customWidth="1" collapsed="1"/>
    <col min="8" max="8" width="11.33203125" style="3" customWidth="1" collapsed="1"/>
    <col min="9" max="9" width="5.33203125" style="3" customWidth="1" collapsed="1"/>
    <col min="10" max="10" width="11.33203125" style="3" customWidth="1" collapsed="1"/>
    <col min="11" max="11" width="7.77734375" style="3" customWidth="1" collapsed="1"/>
    <col min="12" max="12" width="12.44140625" style="3" customWidth="1" collapsed="1"/>
    <col min="13" max="13" width="2.109375" style="3" customWidth="1" collapsed="1"/>
    <col min="14" max="14" width="2.77734375" style="3" customWidth="1" collapsed="1"/>
    <col min="15" max="15" width="2.6640625" style="3" customWidth="1" collapsed="1"/>
    <col min="16" max="19" width="12.6640625" style="3" hidden="1" customWidth="1" collapsed="1"/>
    <col min="20" max="21" width="12.44140625" style="3" hidden="1" customWidth="1" collapsed="1"/>
    <col min="22" max="35" width="11" style="3" hidden="1" customWidth="1" collapsed="1"/>
    <col min="36" max="16384" width="9" style="3" collapsed="1"/>
  </cols>
  <sheetData>
    <row r="1" spans="1:35" ht="18.600000000000001" customHeight="1">
      <c r="A1" s="22" t="s">
        <v>574</v>
      </c>
      <c r="B1" s="22"/>
      <c r="I1" s="43"/>
      <c r="J1" s="43"/>
    </row>
    <row r="2" spans="1:35" ht="18.600000000000001" customHeight="1">
      <c r="A2" s="12"/>
      <c r="B2" s="12"/>
      <c r="I2" s="43"/>
      <c r="J2" s="43"/>
    </row>
    <row r="3" spans="1:35" ht="17.25" customHeight="1">
      <c r="A3" s="928" t="s">
        <v>157</v>
      </c>
      <c r="B3" s="928"/>
      <c r="I3" s="48"/>
      <c r="J3" s="48"/>
      <c r="P3" s="1995" t="s">
        <v>1184</v>
      </c>
      <c r="Q3" s="1995" t="s">
        <v>1185</v>
      </c>
      <c r="R3" s="1995" t="s">
        <v>1186</v>
      </c>
      <c r="S3" s="1995" t="s">
        <v>1187</v>
      </c>
    </row>
    <row r="4" spans="1:35" s="8" customFormat="1" ht="17.25" customHeight="1">
      <c r="A4" s="1750" t="s">
        <v>582</v>
      </c>
      <c r="B4" s="1892"/>
      <c r="C4" s="1997" t="s">
        <v>158</v>
      </c>
      <c r="D4" s="1998"/>
      <c r="E4" s="1998"/>
      <c r="F4" s="1998"/>
      <c r="G4" s="1998"/>
      <c r="H4" s="1998"/>
      <c r="I4" s="1741" t="s">
        <v>159</v>
      </c>
      <c r="J4" s="1741"/>
      <c r="K4" s="1999" t="s">
        <v>160</v>
      </c>
      <c r="L4" s="1999"/>
      <c r="M4" s="10"/>
      <c r="P4" s="1995"/>
      <c r="Q4" s="1996"/>
      <c r="R4" s="1996"/>
      <c r="S4" s="1996"/>
    </row>
    <row r="5" spans="1:35" s="8" customFormat="1" ht="17.25" customHeight="1">
      <c r="A5" s="1802"/>
      <c r="B5" s="1867"/>
      <c r="C5" s="2000" t="s">
        <v>161</v>
      </c>
      <c r="D5" s="2001"/>
      <c r="E5" s="2001" t="s">
        <v>162</v>
      </c>
      <c r="F5" s="2001"/>
      <c r="G5" s="2001" t="s">
        <v>163</v>
      </c>
      <c r="H5" s="2001"/>
      <c r="I5" s="987"/>
      <c r="J5" s="987"/>
      <c r="K5" s="988"/>
      <c r="L5" s="989"/>
      <c r="M5" s="7"/>
      <c r="P5" s="1995"/>
      <c r="Q5" s="1996"/>
      <c r="R5" s="1996"/>
      <c r="S5" s="1996"/>
    </row>
    <row r="6" spans="1:35" s="8" customFormat="1" ht="17.25" customHeight="1">
      <c r="A6" s="1804"/>
      <c r="B6" s="1917"/>
      <c r="C6" s="1129" t="s">
        <v>151</v>
      </c>
      <c r="D6" s="1114" t="s">
        <v>152</v>
      </c>
      <c r="E6" s="1114" t="s">
        <v>151</v>
      </c>
      <c r="F6" s="1114" t="s">
        <v>152</v>
      </c>
      <c r="G6" s="1114" t="s">
        <v>151</v>
      </c>
      <c r="H6" s="1114" t="s">
        <v>152</v>
      </c>
      <c r="I6" s="889" t="s">
        <v>151</v>
      </c>
      <c r="J6" s="889" t="s">
        <v>152</v>
      </c>
      <c r="K6" s="889" t="s">
        <v>151</v>
      </c>
      <c r="L6" s="889" t="s">
        <v>152</v>
      </c>
      <c r="M6" s="42"/>
      <c r="P6" s="1595" t="s">
        <v>783</v>
      </c>
      <c r="Q6" s="1595" t="s">
        <v>784</v>
      </c>
      <c r="R6" s="1595" t="s">
        <v>785</v>
      </c>
      <c r="S6" s="1595" t="s">
        <v>786</v>
      </c>
      <c r="T6" s="1596"/>
      <c r="U6" s="1596"/>
      <c r="V6" s="1596"/>
      <c r="W6" s="1596"/>
      <c r="X6" s="1596"/>
      <c r="Y6" s="1596"/>
      <c r="Z6" s="1596"/>
      <c r="AA6" s="1596"/>
      <c r="AB6" s="1596"/>
      <c r="AC6" s="1596"/>
      <c r="AD6" s="1596"/>
      <c r="AE6" s="1596"/>
      <c r="AF6" s="1596"/>
      <c r="AG6" s="1596"/>
      <c r="AH6" s="1596"/>
      <c r="AI6" s="1596"/>
    </row>
    <row r="7" spans="1:35" s="51" customFormat="1" ht="17.25" customHeight="1">
      <c r="A7" s="2008" t="s">
        <v>581</v>
      </c>
      <c r="B7" s="2009"/>
      <c r="C7" s="1130" t="s">
        <v>153</v>
      </c>
      <c r="D7" s="990" t="s">
        <v>154</v>
      </c>
      <c r="E7" s="990" t="s">
        <v>153</v>
      </c>
      <c r="F7" s="990" t="s">
        <v>154</v>
      </c>
      <c r="G7" s="990" t="s">
        <v>153</v>
      </c>
      <c r="H7" s="990" t="s">
        <v>154</v>
      </c>
      <c r="I7" s="990" t="s">
        <v>153</v>
      </c>
      <c r="J7" s="990" t="s">
        <v>154</v>
      </c>
      <c r="K7" s="990" t="s">
        <v>153</v>
      </c>
      <c r="L7" s="990" t="s">
        <v>154</v>
      </c>
      <c r="M7" s="52"/>
    </row>
    <row r="8" spans="1:35" s="8" customFormat="1" ht="17.25" customHeight="1">
      <c r="A8" s="2010"/>
      <c r="B8" s="2011"/>
      <c r="C8" s="1322">
        <v>14233</v>
      </c>
      <c r="D8" s="1319">
        <v>424973262</v>
      </c>
      <c r="E8" s="1319">
        <v>8226</v>
      </c>
      <c r="F8" s="1319">
        <v>99170116</v>
      </c>
      <c r="G8" s="1319">
        <v>22519</v>
      </c>
      <c r="H8" s="1319">
        <v>536143378</v>
      </c>
      <c r="I8" s="1325">
        <f>P8+Q8</f>
        <v>506</v>
      </c>
      <c r="J8" s="1319">
        <f>R8+S8</f>
        <v>5839494</v>
      </c>
      <c r="K8" s="1319">
        <f>G8+I8</f>
        <v>23025</v>
      </c>
      <c r="L8" s="1319">
        <f>H8+J8</f>
        <v>541982872</v>
      </c>
      <c r="M8" s="53"/>
      <c r="P8" s="1634">
        <v>506</v>
      </c>
      <c r="Q8" s="1634">
        <v>0</v>
      </c>
      <c r="R8" s="1634">
        <v>5839416</v>
      </c>
      <c r="S8" s="1634">
        <v>78</v>
      </c>
      <c r="T8" s="1596"/>
      <c r="U8" s="1596"/>
      <c r="V8" s="1596"/>
      <c r="W8" s="1596"/>
      <c r="X8" s="1596"/>
      <c r="Y8" s="1596"/>
      <c r="Z8" s="1596"/>
      <c r="AA8" s="1596"/>
      <c r="AB8" s="1596"/>
      <c r="AC8" s="1596"/>
      <c r="AD8" s="1596"/>
      <c r="AE8" s="1596"/>
      <c r="AF8" s="1596"/>
      <c r="AG8" s="1596"/>
      <c r="AH8" s="1596"/>
      <c r="AI8" s="1596"/>
    </row>
    <row r="9" spans="1:35" s="8" customFormat="1" ht="17.25" customHeight="1">
      <c r="A9" s="2006"/>
      <c r="B9" s="2012" t="s">
        <v>587</v>
      </c>
      <c r="C9" s="1320"/>
      <c r="D9" s="1321"/>
      <c r="E9" s="1321"/>
      <c r="F9" s="1321"/>
      <c r="G9" s="1321"/>
      <c r="H9" s="1321"/>
      <c r="I9" s="1321"/>
      <c r="J9" s="1321"/>
      <c r="K9" s="1321"/>
      <c r="L9" s="1321"/>
      <c r="M9" s="53"/>
      <c r="P9" s="1597"/>
      <c r="Q9" s="1597"/>
      <c r="R9" s="1597"/>
      <c r="S9" s="1597"/>
      <c r="T9" s="1596"/>
      <c r="U9" s="1596"/>
      <c r="V9" s="1596"/>
      <c r="W9" s="1596"/>
      <c r="X9" s="1596"/>
      <c r="Y9" s="1596"/>
      <c r="Z9" s="1596"/>
      <c r="AA9" s="1596"/>
      <c r="AB9" s="1596"/>
      <c r="AC9" s="1596"/>
      <c r="AD9" s="1596"/>
      <c r="AE9" s="1596"/>
      <c r="AF9" s="1596"/>
      <c r="AG9" s="1596"/>
      <c r="AH9" s="1596"/>
      <c r="AI9" s="1596"/>
    </row>
    <row r="10" spans="1:35" s="8" customFormat="1" ht="17.25" customHeight="1">
      <c r="A10" s="2006"/>
      <c r="B10" s="2012"/>
      <c r="C10" s="1322">
        <v>9232</v>
      </c>
      <c r="D10" s="1319">
        <v>280786728</v>
      </c>
      <c r="E10" s="1319">
        <v>5262</v>
      </c>
      <c r="F10" s="1319">
        <v>63885281</v>
      </c>
      <c r="G10" s="1319">
        <v>14532</v>
      </c>
      <c r="H10" s="1319">
        <v>352531322</v>
      </c>
      <c r="I10" s="1325">
        <f>P10+Q10</f>
        <v>358</v>
      </c>
      <c r="J10" s="1319">
        <f>R10+S10</f>
        <v>4222985</v>
      </c>
      <c r="K10" s="1319">
        <f>G10+I10</f>
        <v>14890</v>
      </c>
      <c r="L10" s="1319">
        <f>H10+J10</f>
        <v>356754307</v>
      </c>
      <c r="M10" s="54"/>
      <c r="P10" s="1634">
        <v>358</v>
      </c>
      <c r="Q10" s="1634">
        <v>0</v>
      </c>
      <c r="R10" s="1634">
        <v>4222918</v>
      </c>
      <c r="S10" s="1634">
        <v>67</v>
      </c>
      <c r="T10" s="1596"/>
      <c r="U10" s="1596"/>
      <c r="V10" s="1596"/>
      <c r="W10" s="1596"/>
      <c r="X10" s="1596"/>
      <c r="Y10" s="1596"/>
      <c r="Z10" s="1596"/>
      <c r="AA10" s="1596"/>
      <c r="AB10" s="1596"/>
      <c r="AC10" s="1596"/>
      <c r="AD10" s="1596"/>
      <c r="AE10" s="1596"/>
      <c r="AF10" s="1596"/>
      <c r="AG10" s="1596"/>
      <c r="AH10" s="1596"/>
      <c r="AI10" s="1596"/>
    </row>
    <row r="11" spans="1:35" s="8" customFormat="1" ht="17.25" customHeight="1">
      <c r="A11" s="2006"/>
      <c r="B11" s="2012" t="s">
        <v>16</v>
      </c>
      <c r="C11" s="1320"/>
      <c r="D11" s="1321"/>
      <c r="E11" s="1321"/>
      <c r="F11" s="1321"/>
      <c r="G11" s="1321"/>
      <c r="H11" s="1321"/>
      <c r="I11" s="1321"/>
      <c r="J11" s="1321"/>
      <c r="K11" s="1321"/>
      <c r="L11" s="1321"/>
      <c r="M11" s="53"/>
      <c r="P11" s="1597"/>
      <c r="Q11" s="1597"/>
      <c r="R11" s="1597"/>
      <c r="S11" s="1597"/>
      <c r="T11" s="1596"/>
      <c r="U11" s="1596"/>
      <c r="V11" s="1596"/>
      <c r="W11" s="1596"/>
      <c r="X11" s="1596"/>
      <c r="Y11" s="1596"/>
      <c r="Z11" s="1596"/>
      <c r="AA11" s="1596"/>
      <c r="AB11" s="1596"/>
      <c r="AC11" s="1596"/>
      <c r="AD11" s="1596"/>
      <c r="AE11" s="1596"/>
      <c r="AF11" s="1596"/>
      <c r="AG11" s="1596"/>
      <c r="AH11" s="1596"/>
      <c r="AI11" s="1596"/>
    </row>
    <row r="12" spans="1:35" s="8" customFormat="1" ht="17.25" customHeight="1" thickBot="1">
      <c r="A12" s="2007"/>
      <c r="B12" s="2013"/>
      <c r="C12" s="1323">
        <v>5002</v>
      </c>
      <c r="D12" s="1324">
        <v>144186534</v>
      </c>
      <c r="E12" s="1324">
        <v>2964</v>
      </c>
      <c r="F12" s="1324">
        <v>35284835</v>
      </c>
      <c r="G12" s="1324">
        <v>7987</v>
      </c>
      <c r="H12" s="1324">
        <v>183612056</v>
      </c>
      <c r="I12" s="1324">
        <f>P12+Q12</f>
        <v>148</v>
      </c>
      <c r="J12" s="1324">
        <f>R12+S12</f>
        <v>1616509</v>
      </c>
      <c r="K12" s="1324">
        <f>G12+I12</f>
        <v>8135</v>
      </c>
      <c r="L12" s="1324">
        <f>H12+J12</f>
        <v>185228565</v>
      </c>
      <c r="M12" s="53"/>
      <c r="P12" s="1634">
        <v>148</v>
      </c>
      <c r="Q12" s="1634">
        <v>0</v>
      </c>
      <c r="R12" s="1634">
        <v>1616498</v>
      </c>
      <c r="S12" s="1634">
        <v>11</v>
      </c>
      <c r="T12" s="1596"/>
      <c r="U12" s="1596"/>
      <c r="V12" s="1596"/>
      <c r="W12" s="1596"/>
      <c r="X12" s="1596"/>
      <c r="Y12" s="1596"/>
      <c r="Z12" s="1596"/>
      <c r="AA12" s="1596"/>
      <c r="AB12" s="1596"/>
      <c r="AC12" s="1596"/>
      <c r="AD12" s="1596"/>
      <c r="AE12" s="1596"/>
      <c r="AF12" s="1596"/>
      <c r="AG12" s="1596"/>
      <c r="AH12" s="1596"/>
      <c r="AI12" s="1596"/>
    </row>
    <row r="13" spans="1:35" s="8" customFormat="1" ht="17.25" customHeight="1" thickTop="1">
      <c r="A13" s="2002" t="s">
        <v>164</v>
      </c>
      <c r="B13" s="2003"/>
      <c r="C13" s="1320"/>
      <c r="D13" s="1321"/>
      <c r="E13" s="1321"/>
      <c r="F13" s="1321"/>
      <c r="G13" s="1321"/>
      <c r="H13" s="1321"/>
      <c r="I13" s="1321"/>
      <c r="J13" s="1321"/>
      <c r="K13" s="1321"/>
      <c r="L13" s="1321"/>
      <c r="M13" s="54"/>
      <c r="P13" s="1597"/>
      <c r="Q13" s="1597"/>
      <c r="R13" s="1597"/>
      <c r="S13" s="1597"/>
      <c r="T13" s="1596"/>
      <c r="U13" s="1596"/>
      <c r="V13" s="1596"/>
      <c r="W13" s="1596"/>
      <c r="X13" s="1596"/>
      <c r="Y13" s="1596"/>
      <c r="Z13" s="1596"/>
      <c r="AA13" s="1596"/>
      <c r="AB13" s="1596"/>
      <c r="AC13" s="1596"/>
      <c r="AD13" s="1596"/>
      <c r="AE13" s="1596"/>
      <c r="AF13" s="1596"/>
      <c r="AG13" s="1596"/>
      <c r="AH13" s="1596"/>
      <c r="AI13" s="1596"/>
    </row>
    <row r="14" spans="1:35" s="8" customFormat="1" ht="17.25" customHeight="1">
      <c r="A14" s="2004"/>
      <c r="B14" s="2005"/>
      <c r="C14" s="1322">
        <v>1981</v>
      </c>
      <c r="D14" s="1319">
        <v>56429213</v>
      </c>
      <c r="E14" s="1319">
        <v>1083</v>
      </c>
      <c r="F14" s="1319">
        <v>13380932</v>
      </c>
      <c r="G14" s="1319">
        <v>3067</v>
      </c>
      <c r="H14" s="1319">
        <v>70743319</v>
      </c>
      <c r="I14" s="1319">
        <f>P14+Q14</f>
        <v>65</v>
      </c>
      <c r="J14" s="1319">
        <f>R14+S14</f>
        <v>600230</v>
      </c>
      <c r="K14" s="1319">
        <f>G14+I14</f>
        <v>3132</v>
      </c>
      <c r="L14" s="1319">
        <f>H14+J14</f>
        <v>71343549</v>
      </c>
      <c r="M14" s="53"/>
      <c r="P14" s="1634">
        <v>65</v>
      </c>
      <c r="Q14" s="1634">
        <v>0</v>
      </c>
      <c r="R14" s="1634">
        <v>600230</v>
      </c>
      <c r="S14" s="1634">
        <v>0</v>
      </c>
      <c r="T14" s="1596"/>
      <c r="U14" s="1596"/>
      <c r="V14" s="1596"/>
      <c r="W14" s="1596"/>
      <c r="X14" s="1596"/>
      <c r="Y14" s="1596"/>
      <c r="Z14" s="1596"/>
      <c r="AA14" s="1596"/>
      <c r="AB14" s="1596"/>
      <c r="AC14" s="1596"/>
      <c r="AD14" s="1596"/>
      <c r="AE14" s="1596"/>
      <c r="AF14" s="1596"/>
      <c r="AG14" s="1596"/>
      <c r="AH14" s="1596"/>
      <c r="AI14" s="1596"/>
    </row>
    <row r="15" spans="1:35" s="8" customFormat="1" ht="17.25" customHeight="1">
      <c r="A15" s="55"/>
      <c r="B15" s="55"/>
      <c r="C15" s="56"/>
      <c r="D15" s="55"/>
      <c r="E15" s="55"/>
      <c r="F15" s="55"/>
      <c r="G15" s="55"/>
      <c r="H15" s="55"/>
      <c r="I15" s="55"/>
      <c r="J15" s="55"/>
      <c r="K15" s="55"/>
      <c r="L15" s="55"/>
      <c r="M15" s="53"/>
      <c r="P15" s="1596"/>
      <c r="Q15" s="1596"/>
      <c r="R15" s="1596"/>
      <c r="S15" s="1596"/>
      <c r="T15" s="1596"/>
      <c r="U15" s="1596"/>
      <c r="V15" s="1596"/>
      <c r="W15" s="1596"/>
      <c r="X15" s="1596"/>
      <c r="Y15" s="1596"/>
      <c r="Z15" s="1596"/>
      <c r="AA15" s="1596"/>
      <c r="AB15" s="1596"/>
      <c r="AC15" s="1596"/>
      <c r="AD15" s="1596"/>
      <c r="AE15" s="1596"/>
      <c r="AF15" s="1596"/>
      <c r="AG15" s="1596"/>
      <c r="AH15" s="1596"/>
      <c r="AI15" s="1596"/>
    </row>
    <row r="16" spans="1:35" s="8" customFormat="1" ht="17.25" customHeight="1">
      <c r="A16" s="928" t="s">
        <v>165</v>
      </c>
      <c r="B16" s="928"/>
      <c r="C16" s="3"/>
      <c r="D16" s="3"/>
      <c r="E16" s="3"/>
      <c r="F16" s="3"/>
      <c r="G16" s="3"/>
      <c r="I16" s="48"/>
      <c r="J16" s="48"/>
      <c r="K16" s="3"/>
      <c r="L16" s="3"/>
      <c r="M16" s="53"/>
      <c r="P16" s="1844" t="s">
        <v>1188</v>
      </c>
      <c r="Q16" s="1844" t="s">
        <v>1189</v>
      </c>
      <c r="R16" s="1844" t="s">
        <v>1190</v>
      </c>
      <c r="S16" s="1844" t="s">
        <v>1191</v>
      </c>
      <c r="T16" s="1596"/>
      <c r="U16" s="1596"/>
      <c r="V16" s="1596"/>
      <c r="W16" s="1596"/>
      <c r="X16" s="1596"/>
      <c r="Y16" s="1596"/>
      <c r="Z16" s="1596"/>
      <c r="AA16" s="1596"/>
      <c r="AB16" s="1596"/>
      <c r="AC16" s="1596"/>
      <c r="AD16" s="1596"/>
      <c r="AE16" s="1596"/>
      <c r="AF16" s="1596"/>
      <c r="AG16" s="1596"/>
      <c r="AH16" s="1596"/>
      <c r="AI16" s="1596"/>
    </row>
    <row r="17" spans="1:35" s="8" customFormat="1" ht="17.25" customHeight="1">
      <c r="A17" s="1750" t="s">
        <v>586</v>
      </c>
      <c r="B17" s="1892"/>
      <c r="C17" s="1997" t="s">
        <v>158</v>
      </c>
      <c r="D17" s="1998"/>
      <c r="E17" s="1998"/>
      <c r="F17" s="1998"/>
      <c r="G17" s="1998"/>
      <c r="H17" s="1998"/>
      <c r="I17" s="1741" t="s">
        <v>159</v>
      </c>
      <c r="J17" s="1741"/>
      <c r="K17" s="1999" t="s">
        <v>160</v>
      </c>
      <c r="L17" s="1999"/>
      <c r="M17" s="53"/>
      <c r="P17" s="1844"/>
      <c r="Q17" s="1844"/>
      <c r="R17" s="1844"/>
      <c r="S17" s="1844"/>
      <c r="T17" s="1596"/>
      <c r="U17" s="1596"/>
      <c r="V17" s="1596"/>
      <c r="W17" s="1596"/>
      <c r="X17" s="1596"/>
      <c r="Y17" s="1596"/>
      <c r="Z17" s="1596"/>
      <c r="AA17" s="1596"/>
      <c r="AB17" s="1596"/>
      <c r="AC17" s="1596"/>
      <c r="AD17" s="1596"/>
      <c r="AE17" s="1596"/>
      <c r="AF17" s="1596"/>
      <c r="AG17" s="1596"/>
      <c r="AH17" s="1596"/>
      <c r="AI17" s="1596"/>
    </row>
    <row r="18" spans="1:35" s="8" customFormat="1" ht="17.25" customHeight="1">
      <c r="A18" s="1802"/>
      <c r="B18" s="1867"/>
      <c r="C18" s="2000" t="s">
        <v>161</v>
      </c>
      <c r="D18" s="2001"/>
      <c r="E18" s="2001" t="s">
        <v>162</v>
      </c>
      <c r="F18" s="2001"/>
      <c r="G18" s="2001" t="s">
        <v>163</v>
      </c>
      <c r="H18" s="2001"/>
      <c r="I18" s="987"/>
      <c r="J18" s="987"/>
      <c r="K18" s="988"/>
      <c r="L18" s="989"/>
      <c r="M18" s="53"/>
      <c r="P18" s="1844"/>
      <c r="Q18" s="1844"/>
      <c r="R18" s="1844"/>
      <c r="S18" s="1844"/>
      <c r="T18" s="1596"/>
      <c r="U18" s="1596"/>
      <c r="V18" s="1596"/>
      <c r="W18" s="1596"/>
      <c r="X18" s="1596"/>
      <c r="Y18" s="1596"/>
      <c r="Z18" s="1596"/>
      <c r="AA18" s="1596"/>
      <c r="AB18" s="1596"/>
      <c r="AC18" s="1596"/>
      <c r="AD18" s="1596"/>
      <c r="AE18" s="1596"/>
      <c r="AF18" s="1596"/>
      <c r="AG18" s="1596"/>
      <c r="AH18" s="1596"/>
      <c r="AI18" s="1596"/>
    </row>
    <row r="19" spans="1:35" s="8" customFormat="1" ht="17.25" customHeight="1">
      <c r="A19" s="1804" t="s">
        <v>119</v>
      </c>
      <c r="B19" s="1917"/>
      <c r="C19" s="1129" t="s">
        <v>151</v>
      </c>
      <c r="D19" s="1114" t="s">
        <v>152</v>
      </c>
      <c r="E19" s="1114" t="s">
        <v>151</v>
      </c>
      <c r="F19" s="1114" t="s">
        <v>152</v>
      </c>
      <c r="G19" s="1114" t="s">
        <v>151</v>
      </c>
      <c r="H19" s="1114" t="s">
        <v>152</v>
      </c>
      <c r="I19" s="1114" t="s">
        <v>151</v>
      </c>
      <c r="J19" s="1114" t="s">
        <v>152</v>
      </c>
      <c r="K19" s="1114" t="s">
        <v>151</v>
      </c>
      <c r="L19" s="1114" t="s">
        <v>152</v>
      </c>
      <c r="M19" s="53"/>
      <c r="P19" s="1595" t="s">
        <v>790</v>
      </c>
      <c r="Q19" s="1595" t="s">
        <v>789</v>
      </c>
      <c r="R19" s="1595" t="s">
        <v>788</v>
      </c>
      <c r="S19" s="1595" t="s">
        <v>787</v>
      </c>
      <c r="T19" s="1596"/>
      <c r="U19" s="1596"/>
      <c r="V19" s="1596"/>
      <c r="W19" s="1596"/>
      <c r="X19" s="1596"/>
      <c r="Y19" s="1596"/>
      <c r="Z19" s="1596"/>
      <c r="AA19" s="1596"/>
      <c r="AB19" s="1596"/>
      <c r="AC19" s="1596"/>
      <c r="AD19" s="1596"/>
      <c r="AE19" s="1596"/>
      <c r="AF19" s="1596"/>
      <c r="AG19" s="1596"/>
      <c r="AH19" s="1596"/>
      <c r="AI19" s="1596"/>
    </row>
    <row r="20" spans="1:35" s="8" customFormat="1" ht="17.25" customHeight="1">
      <c r="A20" s="2008" t="s">
        <v>581</v>
      </c>
      <c r="B20" s="2009"/>
      <c r="C20" s="1130" t="s">
        <v>153</v>
      </c>
      <c r="D20" s="990" t="s">
        <v>154</v>
      </c>
      <c r="E20" s="990" t="s">
        <v>153</v>
      </c>
      <c r="F20" s="990" t="s">
        <v>154</v>
      </c>
      <c r="G20" s="990" t="s">
        <v>153</v>
      </c>
      <c r="H20" s="990" t="s">
        <v>154</v>
      </c>
      <c r="I20" s="990" t="s">
        <v>153</v>
      </c>
      <c r="J20" s="990" t="s">
        <v>154</v>
      </c>
      <c r="K20" s="990" t="s">
        <v>153</v>
      </c>
      <c r="L20" s="990" t="s">
        <v>154</v>
      </c>
      <c r="M20" s="53"/>
      <c r="P20" s="1596"/>
      <c r="Q20" s="1596"/>
      <c r="R20" s="1596"/>
      <c r="S20" s="1596"/>
      <c r="T20" s="1596"/>
      <c r="U20" s="1596"/>
      <c r="V20" s="1596"/>
      <c r="W20" s="1596"/>
      <c r="X20" s="1596"/>
      <c r="Y20" s="1596"/>
      <c r="Z20" s="1596"/>
      <c r="AA20" s="1596"/>
      <c r="AB20" s="1596"/>
      <c r="AC20" s="1596"/>
      <c r="AD20" s="1596"/>
      <c r="AE20" s="1596"/>
      <c r="AF20" s="1596"/>
      <c r="AG20" s="1596"/>
      <c r="AH20" s="1596"/>
      <c r="AI20" s="1596"/>
    </row>
    <row r="21" spans="1:35" s="8" customFormat="1" ht="17.25" customHeight="1">
      <c r="A21" s="2010"/>
      <c r="B21" s="2011"/>
      <c r="C21" s="1322">
        <v>8082</v>
      </c>
      <c r="D21" s="1319">
        <v>246900959</v>
      </c>
      <c r="E21" s="1319">
        <v>4742</v>
      </c>
      <c r="F21" s="1319">
        <v>57485907</v>
      </c>
      <c r="G21" s="1319">
        <v>12857</v>
      </c>
      <c r="H21" s="1319">
        <v>311385475</v>
      </c>
      <c r="I21" s="1325">
        <f>P21+Q21</f>
        <v>280</v>
      </c>
      <c r="J21" s="1319">
        <f>R21+S21</f>
        <v>3370748</v>
      </c>
      <c r="K21" s="1319">
        <f>G21+I21</f>
        <v>13137</v>
      </c>
      <c r="L21" s="1319">
        <f>H21+J21</f>
        <v>314756223</v>
      </c>
      <c r="M21" s="43"/>
      <c r="P21" s="1634">
        <v>280</v>
      </c>
      <c r="Q21" s="1634">
        <v>0</v>
      </c>
      <c r="R21" s="1634">
        <v>3370700</v>
      </c>
      <c r="S21" s="1634">
        <v>48</v>
      </c>
      <c r="T21" s="1596"/>
      <c r="U21" s="1596"/>
      <c r="V21" s="1596"/>
      <c r="W21" s="1596"/>
      <c r="X21" s="1596"/>
      <c r="Y21" s="1596"/>
      <c r="Z21" s="1596"/>
      <c r="AA21" s="1596"/>
      <c r="AB21" s="1596"/>
      <c r="AC21" s="1596"/>
      <c r="AD21" s="1596"/>
      <c r="AE21" s="1596"/>
      <c r="AF21" s="1596"/>
      <c r="AG21" s="1596"/>
      <c r="AH21" s="1596"/>
      <c r="AI21" s="1596"/>
    </row>
    <row r="22" spans="1:35" s="8" customFormat="1" ht="17.25" customHeight="1">
      <c r="A22" s="2006"/>
      <c r="B22" s="2012" t="s">
        <v>587</v>
      </c>
      <c r="C22" s="1320"/>
      <c r="D22" s="1321"/>
      <c r="E22" s="1321"/>
      <c r="F22" s="1321"/>
      <c r="G22" s="1321"/>
      <c r="H22" s="1321"/>
      <c r="I22" s="1321"/>
      <c r="J22" s="1321"/>
      <c r="K22" s="1321"/>
      <c r="L22" s="1321"/>
      <c r="M22" s="43"/>
      <c r="P22" s="1598"/>
      <c r="Q22" s="1597"/>
      <c r="R22" s="1597"/>
      <c r="S22" s="1597"/>
      <c r="T22" s="1596"/>
      <c r="U22" s="1596"/>
      <c r="V22" s="1596"/>
      <c r="W22" s="1596"/>
      <c r="X22" s="1596"/>
      <c r="Y22" s="1596"/>
      <c r="Z22" s="1596"/>
      <c r="AA22" s="1596"/>
      <c r="AB22" s="1596"/>
      <c r="AC22" s="1596"/>
      <c r="AD22" s="1596"/>
      <c r="AE22" s="1596"/>
      <c r="AF22" s="1596"/>
      <c r="AG22" s="1596"/>
      <c r="AH22" s="1596"/>
      <c r="AI22" s="1596"/>
    </row>
    <row r="23" spans="1:35" s="8" customFormat="1" ht="17.25" customHeight="1">
      <c r="A23" s="2006"/>
      <c r="B23" s="2012"/>
      <c r="C23" s="1322">
        <v>5208</v>
      </c>
      <c r="D23" s="1319">
        <v>162357609</v>
      </c>
      <c r="E23" s="1319">
        <v>3019</v>
      </c>
      <c r="F23" s="1319">
        <v>36783029</v>
      </c>
      <c r="G23" s="1319">
        <v>8248</v>
      </c>
      <c r="H23" s="1319">
        <v>203694021</v>
      </c>
      <c r="I23" s="1325">
        <f>P23+Q23</f>
        <v>198</v>
      </c>
      <c r="J23" s="1319">
        <f>R23+S23</f>
        <v>2418996</v>
      </c>
      <c r="K23" s="1319">
        <f>G23+I23</f>
        <v>8446</v>
      </c>
      <c r="L23" s="1319">
        <f>H23+J23</f>
        <v>206113017</v>
      </c>
      <c r="M23" s="13"/>
      <c r="O23" s="1326"/>
      <c r="P23" s="1630">
        <v>198</v>
      </c>
      <c r="Q23" s="1634">
        <v>0</v>
      </c>
      <c r="R23" s="1634">
        <v>2418959</v>
      </c>
      <c r="S23" s="1634">
        <v>37</v>
      </c>
      <c r="T23" s="1596"/>
      <c r="U23" s="1596"/>
      <c r="V23" s="1596"/>
      <c r="W23" s="1596"/>
      <c r="X23" s="1596"/>
      <c r="Y23" s="1596"/>
      <c r="Z23" s="1596"/>
      <c r="AA23" s="1596"/>
      <c r="AB23" s="1596"/>
      <c r="AC23" s="1596"/>
      <c r="AD23" s="1596"/>
      <c r="AE23" s="1596"/>
      <c r="AF23" s="1596"/>
      <c r="AG23" s="1596"/>
      <c r="AH23" s="1596"/>
      <c r="AI23" s="1596"/>
    </row>
    <row r="24" spans="1:35" s="8" customFormat="1" ht="17.25" customHeight="1">
      <c r="A24" s="2006"/>
      <c r="B24" s="2012" t="s">
        <v>16</v>
      </c>
      <c r="C24" s="1320"/>
      <c r="D24" s="1321"/>
      <c r="E24" s="1321"/>
      <c r="F24" s="1321"/>
      <c r="G24" s="1321"/>
      <c r="H24" s="1321"/>
      <c r="I24" s="1321"/>
      <c r="J24" s="1321"/>
      <c r="K24" s="1321"/>
      <c r="L24" s="1321"/>
      <c r="P24" s="1597"/>
      <c r="Q24" s="1597"/>
      <c r="R24" s="1597"/>
      <c r="S24" s="1597"/>
      <c r="T24" s="1596"/>
      <c r="U24" s="1596"/>
      <c r="V24" s="1596"/>
      <c r="W24" s="1596"/>
      <c r="X24" s="1596"/>
      <c r="Y24" s="1596"/>
      <c r="Z24" s="1596"/>
      <c r="AA24" s="1596"/>
      <c r="AB24" s="1596"/>
      <c r="AC24" s="1596"/>
      <c r="AD24" s="1596"/>
      <c r="AE24" s="1596"/>
      <c r="AF24" s="1596"/>
      <c r="AG24" s="1596"/>
      <c r="AH24" s="1596"/>
      <c r="AI24" s="1596"/>
    </row>
    <row r="25" spans="1:35" s="8" customFormat="1" ht="17.25" customHeight="1" thickBot="1">
      <c r="A25" s="2007"/>
      <c r="B25" s="2013"/>
      <c r="C25" s="1323">
        <v>2874</v>
      </c>
      <c r="D25" s="1324">
        <v>84543350</v>
      </c>
      <c r="E25" s="1324">
        <v>1723</v>
      </c>
      <c r="F25" s="1324">
        <v>20702879</v>
      </c>
      <c r="G25" s="1324">
        <v>4609</v>
      </c>
      <c r="H25" s="1324">
        <v>107691454</v>
      </c>
      <c r="I25" s="1324">
        <f>P25+Q25</f>
        <v>82</v>
      </c>
      <c r="J25" s="1324">
        <f>R25+S25</f>
        <v>951752</v>
      </c>
      <c r="K25" s="1324">
        <f>G25+I25</f>
        <v>4691</v>
      </c>
      <c r="L25" s="1324">
        <f>H25+J25</f>
        <v>108643206</v>
      </c>
      <c r="M25" s="24"/>
      <c r="P25" s="1630">
        <v>82</v>
      </c>
      <c r="Q25" s="1634">
        <v>0</v>
      </c>
      <c r="R25" s="1634">
        <v>951741</v>
      </c>
      <c r="S25" s="1634">
        <v>11</v>
      </c>
      <c r="T25" s="1596"/>
      <c r="U25" s="1596"/>
      <c r="V25" s="1596"/>
      <c r="W25" s="1596"/>
      <c r="X25" s="1596"/>
      <c r="Y25" s="1596"/>
      <c r="Z25" s="1596"/>
      <c r="AA25" s="1596"/>
      <c r="AB25" s="1596"/>
      <c r="AC25" s="1596"/>
      <c r="AD25" s="1596"/>
      <c r="AE25" s="1596"/>
      <c r="AF25" s="1596"/>
      <c r="AG25" s="1596"/>
      <c r="AH25" s="1596"/>
      <c r="AI25" s="1596"/>
    </row>
    <row r="26" spans="1:35" s="1" customFormat="1" ht="17.25" customHeight="1" thickTop="1">
      <c r="A26" s="2002" t="s">
        <v>164</v>
      </c>
      <c r="B26" s="2003"/>
      <c r="C26" s="1320"/>
      <c r="D26" s="1321"/>
      <c r="E26" s="1321"/>
      <c r="F26" s="1321"/>
      <c r="G26" s="1321"/>
      <c r="H26" s="1321"/>
      <c r="I26" s="1321"/>
      <c r="J26" s="1321"/>
      <c r="K26" s="1321"/>
      <c r="L26" s="1321"/>
      <c r="M26" s="51"/>
      <c r="N26" s="8"/>
      <c r="O26" s="8"/>
      <c r="P26" s="1597"/>
      <c r="Q26" s="1597"/>
      <c r="R26" s="1597"/>
      <c r="S26" s="1597"/>
      <c r="T26" s="1596"/>
      <c r="U26" s="1596"/>
      <c r="V26" s="1596"/>
      <c r="W26" s="1596"/>
      <c r="X26" s="1596"/>
      <c r="Y26" s="1596"/>
      <c r="Z26" s="1596"/>
      <c r="AA26" s="1599"/>
      <c r="AB26" s="1599"/>
      <c r="AC26" s="1599"/>
      <c r="AD26" s="1599"/>
      <c r="AE26" s="1599"/>
      <c r="AF26" s="1599"/>
      <c r="AG26" s="1599"/>
      <c r="AH26" s="1599"/>
      <c r="AI26" s="1599"/>
    </row>
    <row r="27" spans="1:35" s="1" customFormat="1" ht="17.25" customHeight="1">
      <c r="A27" s="2004"/>
      <c r="B27" s="2005"/>
      <c r="C27" s="1322">
        <v>631</v>
      </c>
      <c r="D27" s="1319">
        <v>19715170</v>
      </c>
      <c r="E27" s="1319">
        <v>353</v>
      </c>
      <c r="F27" s="1319">
        <v>4540405</v>
      </c>
      <c r="G27" s="1319">
        <v>986</v>
      </c>
      <c r="H27" s="1319">
        <v>24650130</v>
      </c>
      <c r="I27" s="1319">
        <f>P27+Q27</f>
        <v>20</v>
      </c>
      <c r="J27" s="1319">
        <f>R27+S27</f>
        <v>201968</v>
      </c>
      <c r="K27" s="1319">
        <f>G27+I27</f>
        <v>1006</v>
      </c>
      <c r="L27" s="1319">
        <f>H27+J27</f>
        <v>24852098</v>
      </c>
      <c r="M27" s="53"/>
      <c r="N27" s="8"/>
      <c r="O27" s="8"/>
      <c r="P27" s="1630">
        <v>20</v>
      </c>
      <c r="Q27" s="1634">
        <v>0</v>
      </c>
      <c r="R27" s="1634">
        <v>201968</v>
      </c>
      <c r="S27" s="1634">
        <v>0</v>
      </c>
      <c r="T27" s="1596"/>
      <c r="U27" s="1596"/>
      <c r="V27" s="1596"/>
      <c r="W27" s="1596"/>
      <c r="X27" s="1596"/>
      <c r="Y27" s="1596"/>
      <c r="Z27" s="1596"/>
      <c r="AA27" s="1599"/>
      <c r="AB27" s="1599"/>
      <c r="AC27" s="1599"/>
      <c r="AD27" s="1599"/>
      <c r="AE27" s="1599"/>
      <c r="AF27" s="1599"/>
      <c r="AG27" s="1599"/>
      <c r="AH27" s="1599"/>
      <c r="AI27" s="1599"/>
    </row>
    <row r="28" spans="1:35" s="1" customFormat="1" ht="17.25" customHeight="1">
      <c r="M28" s="53"/>
      <c r="N28" s="8"/>
      <c r="O28" s="8"/>
      <c r="P28" s="1596"/>
      <c r="Q28" s="1596"/>
      <c r="R28" s="1596"/>
      <c r="S28" s="1596"/>
      <c r="T28" s="1596"/>
      <c r="U28" s="1596"/>
      <c r="V28" s="1596"/>
      <c r="W28" s="1596"/>
      <c r="X28" s="1596"/>
      <c r="Y28" s="1596"/>
      <c r="Z28" s="1596"/>
      <c r="AA28" s="1599"/>
      <c r="AB28" s="1599"/>
      <c r="AC28" s="1599"/>
      <c r="AD28" s="1599"/>
      <c r="AE28" s="1599"/>
      <c r="AF28" s="1599"/>
      <c r="AG28" s="1599"/>
      <c r="AH28" s="1599"/>
      <c r="AI28" s="1599"/>
    </row>
    <row r="29" spans="1:35" s="1" customFormat="1" ht="17.25" customHeight="1">
      <c r="A29" s="929" t="s">
        <v>166</v>
      </c>
      <c r="B29" s="929"/>
      <c r="C29" s="3"/>
      <c r="D29" s="3"/>
      <c r="E29" s="3"/>
      <c r="F29" s="3"/>
      <c r="G29" s="3"/>
      <c r="I29" s="48"/>
      <c r="J29" s="48"/>
      <c r="K29" s="3"/>
      <c r="L29" s="3"/>
      <c r="M29" s="53"/>
      <c r="N29" s="8"/>
      <c r="O29" s="8"/>
      <c r="P29" s="1844" t="s">
        <v>1192</v>
      </c>
      <c r="Q29" s="1844" t="s">
        <v>1193</v>
      </c>
      <c r="R29" s="1844" t="s">
        <v>1194</v>
      </c>
      <c r="S29" s="1844" t="s">
        <v>1195</v>
      </c>
      <c r="T29" s="1596"/>
      <c r="U29" s="1596"/>
      <c r="V29" s="1596"/>
      <c r="W29" s="1596"/>
      <c r="X29" s="1596"/>
      <c r="Y29" s="1596"/>
      <c r="Z29" s="1596"/>
      <c r="AA29" s="1599"/>
      <c r="AB29" s="1599"/>
      <c r="AC29" s="1599"/>
      <c r="AD29" s="1599"/>
      <c r="AE29" s="1599"/>
      <c r="AF29" s="1599"/>
      <c r="AG29" s="1599"/>
      <c r="AH29" s="1599"/>
      <c r="AI29" s="1599"/>
    </row>
    <row r="30" spans="1:35" s="1" customFormat="1" ht="17.25" customHeight="1">
      <c r="A30" s="1750" t="s">
        <v>586</v>
      </c>
      <c r="B30" s="1892"/>
      <c r="C30" s="1997" t="s">
        <v>158</v>
      </c>
      <c r="D30" s="1998"/>
      <c r="E30" s="1998"/>
      <c r="F30" s="1998"/>
      <c r="G30" s="1998"/>
      <c r="H30" s="1998"/>
      <c r="I30" s="1741" t="s">
        <v>159</v>
      </c>
      <c r="J30" s="1741"/>
      <c r="K30" s="1999" t="s">
        <v>160</v>
      </c>
      <c r="L30" s="1999"/>
      <c r="M30" s="54"/>
      <c r="N30" s="8"/>
      <c r="O30" s="8"/>
      <c r="P30" s="1844"/>
      <c r="Q30" s="1844"/>
      <c r="R30" s="1844"/>
      <c r="S30" s="1844"/>
      <c r="T30" s="1596"/>
      <c r="U30" s="1596"/>
      <c r="V30" s="1596"/>
      <c r="W30" s="1596"/>
      <c r="X30" s="1596"/>
      <c r="Y30" s="1596"/>
      <c r="Z30" s="1596"/>
      <c r="AA30" s="1599"/>
      <c r="AB30" s="1599"/>
      <c r="AC30" s="1599"/>
      <c r="AD30" s="1599"/>
      <c r="AE30" s="1599"/>
      <c r="AF30" s="1599"/>
      <c r="AG30" s="1599"/>
      <c r="AH30" s="1599"/>
      <c r="AI30" s="1599"/>
    </row>
    <row r="31" spans="1:35" s="1" customFormat="1" ht="17.25" customHeight="1">
      <c r="A31" s="1802"/>
      <c r="B31" s="1867"/>
      <c r="C31" s="2000" t="s">
        <v>161</v>
      </c>
      <c r="D31" s="2001"/>
      <c r="E31" s="2001" t="s">
        <v>162</v>
      </c>
      <c r="F31" s="2001"/>
      <c r="G31" s="2001" t="s">
        <v>163</v>
      </c>
      <c r="H31" s="2001"/>
      <c r="I31" s="987"/>
      <c r="J31" s="987"/>
      <c r="K31" s="988"/>
      <c r="L31" s="989"/>
      <c r="M31" s="53"/>
      <c r="N31" s="8"/>
      <c r="O31" s="8"/>
      <c r="P31" s="1844"/>
      <c r="Q31" s="1844"/>
      <c r="R31" s="1844"/>
      <c r="S31" s="1844"/>
      <c r="T31" s="1596"/>
      <c r="U31" s="1596"/>
      <c r="V31" s="1596"/>
      <c r="W31" s="1596"/>
      <c r="X31" s="1596"/>
      <c r="Y31" s="1596"/>
      <c r="Z31" s="1596"/>
      <c r="AA31" s="1599"/>
      <c r="AB31" s="1599"/>
      <c r="AC31" s="1599"/>
      <c r="AD31" s="1599"/>
      <c r="AE31" s="1599"/>
      <c r="AF31" s="1599"/>
      <c r="AG31" s="1599"/>
      <c r="AH31" s="1599"/>
      <c r="AI31" s="1599"/>
    </row>
    <row r="32" spans="1:35" s="1" customFormat="1" ht="17.25" customHeight="1">
      <c r="A32" s="1804" t="s">
        <v>119</v>
      </c>
      <c r="B32" s="1917"/>
      <c r="C32" s="1129" t="s">
        <v>151</v>
      </c>
      <c r="D32" s="1114" t="s">
        <v>152</v>
      </c>
      <c r="E32" s="1114" t="s">
        <v>151</v>
      </c>
      <c r="F32" s="1114" t="s">
        <v>152</v>
      </c>
      <c r="G32" s="1114" t="s">
        <v>151</v>
      </c>
      <c r="H32" s="1114" t="s">
        <v>152</v>
      </c>
      <c r="I32" s="1114" t="s">
        <v>151</v>
      </c>
      <c r="J32" s="1114" t="s">
        <v>152</v>
      </c>
      <c r="K32" s="1114" t="s">
        <v>151</v>
      </c>
      <c r="L32" s="1114" t="s">
        <v>152</v>
      </c>
      <c r="M32" s="53"/>
      <c r="N32" s="8"/>
      <c r="O32" s="8"/>
      <c r="P32" s="1595" t="s">
        <v>791</v>
      </c>
      <c r="Q32" s="1595" t="s">
        <v>792</v>
      </c>
      <c r="R32" s="1595" t="s">
        <v>793</v>
      </c>
      <c r="S32" s="1595" t="s">
        <v>794</v>
      </c>
      <c r="T32" s="1596"/>
      <c r="U32" s="1596"/>
      <c r="V32" s="1596"/>
      <c r="W32" s="1596"/>
      <c r="X32" s="1596"/>
      <c r="Y32" s="1596"/>
      <c r="Z32" s="1596"/>
      <c r="AA32" s="1599"/>
      <c r="AB32" s="1599"/>
      <c r="AC32" s="1599"/>
      <c r="AD32" s="1599"/>
      <c r="AE32" s="1599"/>
      <c r="AF32" s="1599"/>
      <c r="AG32" s="1599"/>
      <c r="AH32" s="1599"/>
      <c r="AI32" s="1599"/>
    </row>
    <row r="33" spans="1:36" s="1" customFormat="1" ht="17.25" customHeight="1">
      <c r="A33" s="2008" t="s">
        <v>581</v>
      </c>
      <c r="B33" s="2009"/>
      <c r="C33" s="1130" t="s">
        <v>153</v>
      </c>
      <c r="D33" s="990" t="s">
        <v>154</v>
      </c>
      <c r="E33" s="990" t="s">
        <v>153</v>
      </c>
      <c r="F33" s="990" t="s">
        <v>154</v>
      </c>
      <c r="G33" s="990" t="s">
        <v>153</v>
      </c>
      <c r="H33" s="990" t="s">
        <v>154</v>
      </c>
      <c r="I33" s="990" t="s">
        <v>153</v>
      </c>
      <c r="J33" s="990" t="s">
        <v>154</v>
      </c>
      <c r="K33" s="990" t="s">
        <v>153</v>
      </c>
      <c r="L33" s="990" t="s">
        <v>154</v>
      </c>
      <c r="M33" s="54"/>
      <c r="N33" s="8"/>
      <c r="O33" s="8"/>
      <c r="P33" s="1596"/>
      <c r="Q33" s="1596"/>
      <c r="R33" s="1596"/>
      <c r="S33" s="1596"/>
      <c r="T33" s="1596"/>
      <c r="U33" s="1596"/>
      <c r="V33" s="1596"/>
      <c r="W33" s="1596"/>
      <c r="X33" s="1596"/>
      <c r="Y33" s="1596"/>
      <c r="Z33" s="1596"/>
      <c r="AA33" s="1599"/>
      <c r="AB33" s="1599"/>
      <c r="AC33" s="1599"/>
      <c r="AD33" s="1599"/>
      <c r="AE33" s="1599"/>
      <c r="AF33" s="1599"/>
      <c r="AG33" s="1599"/>
      <c r="AH33" s="1599"/>
      <c r="AI33" s="1599"/>
    </row>
    <row r="34" spans="1:36" s="1" customFormat="1" ht="17.25" customHeight="1">
      <c r="A34" s="2010"/>
      <c r="B34" s="2011"/>
      <c r="C34" s="1322">
        <v>1187</v>
      </c>
      <c r="D34" s="1319">
        <v>32427722</v>
      </c>
      <c r="E34" s="1319">
        <v>666</v>
      </c>
      <c r="F34" s="1319">
        <v>7996980</v>
      </c>
      <c r="G34" s="1319">
        <v>1856</v>
      </c>
      <c r="H34" s="1319">
        <v>41068570</v>
      </c>
      <c r="I34" s="1325">
        <f>P34+Q34</f>
        <v>40</v>
      </c>
      <c r="J34" s="1319">
        <f>R34+S34</f>
        <v>412484</v>
      </c>
      <c r="K34" s="1319">
        <f>G34+I34</f>
        <v>1896</v>
      </c>
      <c r="L34" s="1319">
        <f>H34+J34</f>
        <v>41481054</v>
      </c>
      <c r="M34" s="54"/>
      <c r="O34" s="8"/>
      <c r="P34" s="1634">
        <v>40</v>
      </c>
      <c r="Q34" s="1634">
        <v>0</v>
      </c>
      <c r="R34" s="1634">
        <v>412484</v>
      </c>
      <c r="S34" s="1634">
        <v>0</v>
      </c>
      <c r="T34" s="1599"/>
      <c r="U34" s="1599"/>
      <c r="V34" s="1599"/>
      <c r="W34" s="1599"/>
      <c r="X34" s="1599"/>
      <c r="Y34" s="1599"/>
      <c r="Z34" s="1599"/>
      <c r="AA34" s="1599"/>
      <c r="AB34" s="1599"/>
      <c r="AC34" s="1599"/>
      <c r="AD34" s="1599"/>
      <c r="AE34" s="1599"/>
      <c r="AF34" s="1599"/>
      <c r="AG34" s="1599"/>
      <c r="AH34" s="1599"/>
      <c r="AI34" s="1599"/>
    </row>
    <row r="35" spans="1:36" s="1" customFormat="1" ht="17.25" customHeight="1">
      <c r="A35" s="2006"/>
      <c r="B35" s="2012" t="s">
        <v>587</v>
      </c>
      <c r="C35" s="1320"/>
      <c r="D35" s="1321"/>
      <c r="E35" s="1321"/>
      <c r="F35" s="1321"/>
      <c r="G35" s="1321"/>
      <c r="H35" s="1321"/>
      <c r="I35" s="1321"/>
      <c r="J35" s="1321"/>
      <c r="K35" s="1321"/>
      <c r="L35" s="1321"/>
      <c r="M35" s="53"/>
      <c r="P35" s="1598"/>
      <c r="Q35" s="1598"/>
      <c r="R35" s="1598"/>
      <c r="S35" s="1598"/>
      <c r="T35" s="1599"/>
      <c r="U35" s="1599"/>
      <c r="V35" s="1599"/>
      <c r="W35" s="1599"/>
      <c r="X35" s="1599"/>
      <c r="Y35" s="1599"/>
      <c r="Z35" s="1599"/>
      <c r="AA35" s="1599"/>
      <c r="AB35" s="1599"/>
      <c r="AC35" s="1599"/>
      <c r="AD35" s="1599"/>
      <c r="AE35" s="1599"/>
      <c r="AF35" s="1599"/>
      <c r="AG35" s="1599"/>
      <c r="AH35" s="1599"/>
      <c r="AI35" s="1599"/>
    </row>
    <row r="36" spans="1:36" s="1" customFormat="1" ht="17.25" customHeight="1">
      <c r="A36" s="2006"/>
      <c r="B36" s="2012"/>
      <c r="C36" s="1322">
        <v>801</v>
      </c>
      <c r="D36" s="1319">
        <v>22387388</v>
      </c>
      <c r="E36" s="1319">
        <v>442</v>
      </c>
      <c r="F36" s="1319">
        <v>5359691</v>
      </c>
      <c r="G36" s="1319">
        <v>1245</v>
      </c>
      <c r="H36" s="1319">
        <v>28190230</v>
      </c>
      <c r="I36" s="1319">
        <f>P36+Q36</f>
        <v>29</v>
      </c>
      <c r="J36" s="1319">
        <f>R36+S36</f>
        <v>307491</v>
      </c>
      <c r="K36" s="1319">
        <f>G36+I36</f>
        <v>1274</v>
      </c>
      <c r="L36" s="1319">
        <f>H36+J36</f>
        <v>28497721</v>
      </c>
      <c r="P36" s="1630">
        <v>29</v>
      </c>
      <c r="Q36" s="1630">
        <v>0</v>
      </c>
      <c r="R36" s="1630">
        <v>307491</v>
      </c>
      <c r="S36" s="1630">
        <v>0</v>
      </c>
      <c r="T36" s="1599"/>
      <c r="U36" s="1599"/>
      <c r="V36" s="1599"/>
      <c r="W36" s="1599"/>
      <c r="X36" s="1599"/>
      <c r="Y36" s="1599"/>
      <c r="Z36" s="1599"/>
      <c r="AA36" s="1599"/>
      <c r="AB36" s="1599"/>
      <c r="AC36" s="1599"/>
      <c r="AD36" s="1599"/>
      <c r="AE36" s="1599"/>
      <c r="AF36" s="1599"/>
      <c r="AG36" s="1599"/>
      <c r="AH36" s="1599"/>
      <c r="AI36" s="1599"/>
    </row>
    <row r="37" spans="1:36" s="1" customFormat="1" ht="17.25" customHeight="1">
      <c r="A37" s="2006"/>
      <c r="B37" s="2012" t="s">
        <v>16</v>
      </c>
      <c r="C37" s="1320"/>
      <c r="D37" s="1321"/>
      <c r="E37" s="1321"/>
      <c r="F37" s="1321"/>
      <c r="G37" s="1321"/>
      <c r="H37" s="1321"/>
      <c r="I37" s="1321"/>
      <c r="J37" s="1321"/>
      <c r="K37" s="1321"/>
      <c r="L37" s="1321"/>
      <c r="P37" s="1598"/>
      <c r="Q37" s="1598"/>
      <c r="R37" s="1598"/>
      <c r="S37" s="1598"/>
      <c r="T37" s="1599"/>
      <c r="U37" s="1599"/>
      <c r="V37" s="1599"/>
      <c r="W37" s="1599"/>
      <c r="X37" s="1599"/>
      <c r="Y37" s="1599"/>
      <c r="Z37" s="1599"/>
      <c r="AA37" s="1599"/>
      <c r="AB37" s="1599"/>
      <c r="AC37" s="1599"/>
      <c r="AD37" s="1599"/>
      <c r="AE37" s="1599"/>
      <c r="AF37" s="1599"/>
      <c r="AG37" s="1599"/>
      <c r="AH37" s="1599"/>
      <c r="AI37" s="1599"/>
    </row>
    <row r="38" spans="1:36" s="1" customFormat="1" ht="17.25" customHeight="1" thickBot="1">
      <c r="A38" s="2007"/>
      <c r="B38" s="2013"/>
      <c r="C38" s="1323">
        <v>386</v>
      </c>
      <c r="D38" s="1324">
        <v>10040335</v>
      </c>
      <c r="E38" s="1324">
        <v>223</v>
      </c>
      <c r="F38" s="1324">
        <v>2637289</v>
      </c>
      <c r="G38" s="1324">
        <v>610</v>
      </c>
      <c r="H38" s="1324">
        <v>12878340</v>
      </c>
      <c r="I38" s="1324">
        <f>P38+Q38</f>
        <v>11</v>
      </c>
      <c r="J38" s="1324">
        <f>R38+S38</f>
        <v>104992</v>
      </c>
      <c r="K38" s="1324">
        <f>G38+I38</f>
        <v>621</v>
      </c>
      <c r="L38" s="1324">
        <f>H38+J38</f>
        <v>12983332</v>
      </c>
      <c r="P38" s="1630">
        <v>11</v>
      </c>
      <c r="Q38" s="1630">
        <v>0</v>
      </c>
      <c r="R38" s="1630">
        <v>104992</v>
      </c>
      <c r="S38" s="1630">
        <v>0</v>
      </c>
      <c r="T38" s="1599"/>
      <c r="U38" s="1599"/>
      <c r="V38" s="1599"/>
      <c r="W38" s="1599"/>
      <c r="X38" s="1599"/>
      <c r="Y38" s="1599"/>
      <c r="Z38" s="1599"/>
      <c r="AA38" s="1599"/>
      <c r="AB38" s="1599"/>
      <c r="AC38" s="1599"/>
      <c r="AD38" s="1599"/>
      <c r="AE38" s="1599"/>
      <c r="AF38" s="1599"/>
      <c r="AG38" s="1599"/>
      <c r="AH38" s="1599"/>
      <c r="AI38" s="1599"/>
    </row>
    <row r="39" spans="1:36" s="1" customFormat="1" ht="17.25" customHeight="1" thickTop="1">
      <c r="A39" s="2002" t="s">
        <v>164</v>
      </c>
      <c r="B39" s="2003"/>
      <c r="C39" s="1320"/>
      <c r="D39" s="1321"/>
      <c r="E39" s="1321"/>
      <c r="F39" s="1321"/>
      <c r="G39" s="1321"/>
      <c r="H39" s="1321"/>
      <c r="I39" s="1321"/>
      <c r="J39" s="1321"/>
      <c r="K39" s="1321"/>
      <c r="L39" s="1321"/>
      <c r="P39" s="1598"/>
      <c r="Q39" s="1598"/>
      <c r="R39" s="1598"/>
      <c r="S39" s="1598"/>
      <c r="T39" s="1599"/>
      <c r="U39" s="1599"/>
      <c r="V39" s="1599"/>
      <c r="W39" s="1599"/>
      <c r="X39" s="1599"/>
      <c r="Y39" s="1599"/>
      <c r="Z39" s="1599"/>
      <c r="AA39" s="1599"/>
      <c r="AB39" s="1599"/>
      <c r="AC39" s="1599"/>
      <c r="AD39" s="1599"/>
      <c r="AE39" s="1599"/>
      <c r="AF39" s="1599"/>
      <c r="AG39" s="1599"/>
      <c r="AH39" s="1599"/>
      <c r="AI39" s="1599"/>
    </row>
    <row r="40" spans="1:36" s="1" customFormat="1" ht="17.25" customHeight="1">
      <c r="A40" s="2004"/>
      <c r="B40" s="2005"/>
      <c r="C40" s="1322">
        <v>349</v>
      </c>
      <c r="D40" s="1319">
        <v>10058992</v>
      </c>
      <c r="E40" s="1319">
        <v>189</v>
      </c>
      <c r="F40" s="1319">
        <v>2433051</v>
      </c>
      <c r="G40" s="1319">
        <v>538</v>
      </c>
      <c r="H40" s="1319">
        <v>12642012</v>
      </c>
      <c r="I40" s="1319">
        <f>P40+Q40</f>
        <v>11</v>
      </c>
      <c r="J40" s="1319">
        <f>R40+S40</f>
        <v>99642</v>
      </c>
      <c r="K40" s="1319">
        <f>G40+I40</f>
        <v>549</v>
      </c>
      <c r="L40" s="1319">
        <f>H40+J40</f>
        <v>12741654</v>
      </c>
      <c r="P40" s="1630">
        <v>11</v>
      </c>
      <c r="Q40" s="1630">
        <v>0</v>
      </c>
      <c r="R40" s="1630">
        <v>99642</v>
      </c>
      <c r="S40" s="1630">
        <v>0</v>
      </c>
      <c r="T40" s="1599"/>
      <c r="U40" s="1599"/>
      <c r="V40" s="1599"/>
      <c r="W40" s="1599"/>
      <c r="X40" s="1599"/>
      <c r="Y40" s="1599"/>
      <c r="Z40" s="1599"/>
      <c r="AA40" s="1599"/>
      <c r="AB40" s="1599"/>
      <c r="AC40" s="1599"/>
      <c r="AD40" s="1599"/>
      <c r="AE40" s="1599"/>
      <c r="AF40" s="1599"/>
      <c r="AG40" s="1599"/>
      <c r="AH40" s="1599"/>
      <c r="AI40" s="1599"/>
    </row>
    <row r="41" spans="1:36" ht="17.25" customHeight="1">
      <c r="P41" s="1599"/>
      <c r="Q41" s="1599"/>
      <c r="R41" s="1599"/>
      <c r="S41" s="1599"/>
      <c r="T41" s="1599"/>
      <c r="U41" s="1599"/>
      <c r="V41" s="1599"/>
      <c r="W41" s="1599"/>
      <c r="X41" s="1599"/>
      <c r="Y41" s="1599"/>
      <c r="Z41" s="1599"/>
      <c r="AA41" s="1599"/>
      <c r="AB41" s="1599"/>
      <c r="AC41" s="1599"/>
      <c r="AD41" s="1599"/>
      <c r="AE41" s="1599"/>
      <c r="AF41" s="1599"/>
      <c r="AG41" s="1599"/>
      <c r="AH41" s="1599"/>
      <c r="AI41" s="1599"/>
    </row>
    <row r="42" spans="1:36" ht="17.25" customHeight="1">
      <c r="A42" s="929" t="s">
        <v>167</v>
      </c>
      <c r="B42" s="929"/>
      <c r="C42" s="48"/>
      <c r="D42" s="48"/>
      <c r="E42" s="48"/>
      <c r="F42" s="48"/>
      <c r="G42" s="48"/>
      <c r="I42" s="48"/>
      <c r="J42" s="48"/>
      <c r="K42" s="48"/>
      <c r="L42" s="48"/>
      <c r="P42" s="1844" t="s">
        <v>1196</v>
      </c>
      <c r="Q42" s="1844" t="s">
        <v>1197</v>
      </c>
      <c r="R42" s="1844" t="s">
        <v>1198</v>
      </c>
      <c r="S42" s="1844" t="s">
        <v>1199</v>
      </c>
      <c r="T42" s="1844" t="s">
        <v>1200</v>
      </c>
      <c r="U42" s="1844" t="s">
        <v>1201</v>
      </c>
      <c r="V42" s="1844" t="s">
        <v>1202</v>
      </c>
      <c r="W42" s="1844" t="s">
        <v>1203</v>
      </c>
      <c r="X42" s="1844" t="s">
        <v>1204</v>
      </c>
      <c r="Y42" s="1844" t="s">
        <v>1205</v>
      </c>
      <c r="Z42" s="1844" t="s">
        <v>1206</v>
      </c>
      <c r="AA42" s="1844" t="s">
        <v>1207</v>
      </c>
      <c r="AB42" s="1844" t="s">
        <v>1208</v>
      </c>
      <c r="AC42" s="1844" t="s">
        <v>1209</v>
      </c>
      <c r="AD42" s="1844" t="s">
        <v>1210</v>
      </c>
      <c r="AE42" s="1844" t="s">
        <v>1211</v>
      </c>
      <c r="AF42" s="1844" t="s">
        <v>1212</v>
      </c>
      <c r="AG42" s="1844" t="s">
        <v>1213</v>
      </c>
      <c r="AH42" s="1844" t="s">
        <v>1214</v>
      </c>
      <c r="AI42" s="1844" t="s">
        <v>1215</v>
      </c>
    </row>
    <row r="43" spans="1:36" ht="17.25" customHeight="1">
      <c r="A43" s="1750" t="s">
        <v>586</v>
      </c>
      <c r="B43" s="1892"/>
      <c r="C43" s="1997" t="s">
        <v>168</v>
      </c>
      <c r="D43" s="1998"/>
      <c r="E43" s="1998"/>
      <c r="F43" s="1998"/>
      <c r="G43" s="1998"/>
      <c r="H43" s="1998"/>
      <c r="I43" s="1741" t="s">
        <v>159</v>
      </c>
      <c r="J43" s="1741"/>
      <c r="K43" s="1999" t="s">
        <v>160</v>
      </c>
      <c r="L43" s="1999"/>
      <c r="P43" s="1844"/>
      <c r="Q43" s="1844"/>
      <c r="R43" s="1844"/>
      <c r="S43" s="1844"/>
      <c r="T43" s="1844"/>
      <c r="U43" s="1844"/>
      <c r="V43" s="1844"/>
      <c r="W43" s="1844"/>
      <c r="X43" s="1844"/>
      <c r="Y43" s="1844"/>
      <c r="Z43" s="1844"/>
      <c r="AA43" s="1844"/>
      <c r="AB43" s="1844"/>
      <c r="AC43" s="1844"/>
      <c r="AD43" s="1844"/>
      <c r="AE43" s="1844"/>
      <c r="AF43" s="1844"/>
      <c r="AG43" s="1844"/>
      <c r="AH43" s="1844"/>
      <c r="AI43" s="1844"/>
    </row>
    <row r="44" spans="1:36" ht="17.25" customHeight="1">
      <c r="A44" s="1802"/>
      <c r="B44" s="1867"/>
      <c r="C44" s="2000" t="s">
        <v>161</v>
      </c>
      <c r="D44" s="2001"/>
      <c r="E44" s="2001" t="s">
        <v>162</v>
      </c>
      <c r="F44" s="2001"/>
      <c r="G44" s="2001" t="s">
        <v>163</v>
      </c>
      <c r="H44" s="2001"/>
      <c r="I44" s="987"/>
      <c r="J44" s="987"/>
      <c r="K44" s="988"/>
      <c r="L44" s="989"/>
      <c r="P44" s="1844"/>
      <c r="Q44" s="1844"/>
      <c r="R44" s="1844"/>
      <c r="S44" s="1844"/>
      <c r="T44" s="1844"/>
      <c r="U44" s="1844"/>
      <c r="V44" s="1844"/>
      <c r="W44" s="1844"/>
      <c r="X44" s="1844"/>
      <c r="Y44" s="1844"/>
      <c r="Z44" s="1844"/>
      <c r="AA44" s="1844"/>
      <c r="AB44" s="1844"/>
      <c r="AC44" s="1844"/>
      <c r="AD44" s="1844"/>
      <c r="AE44" s="1844"/>
      <c r="AF44" s="1844"/>
      <c r="AG44" s="1844"/>
      <c r="AH44" s="1844"/>
      <c r="AI44" s="1844"/>
    </row>
    <row r="45" spans="1:36" ht="17.25" customHeight="1">
      <c r="A45" s="1804" t="s">
        <v>119</v>
      </c>
      <c r="B45" s="1917"/>
      <c r="C45" s="1129" t="s">
        <v>151</v>
      </c>
      <c r="D45" s="1114" t="s">
        <v>152</v>
      </c>
      <c r="E45" s="1114" t="s">
        <v>151</v>
      </c>
      <c r="F45" s="1114" t="s">
        <v>152</v>
      </c>
      <c r="G45" s="1114" t="s">
        <v>151</v>
      </c>
      <c r="H45" s="1114" t="s">
        <v>152</v>
      </c>
      <c r="I45" s="1114" t="s">
        <v>151</v>
      </c>
      <c r="J45" s="1114" t="s">
        <v>152</v>
      </c>
      <c r="K45" s="1114" t="s">
        <v>151</v>
      </c>
      <c r="L45" s="1114" t="s">
        <v>152</v>
      </c>
      <c r="P45" s="1595" t="s">
        <v>795</v>
      </c>
      <c r="Q45" s="1595" t="s">
        <v>796</v>
      </c>
      <c r="R45" s="1595" t="s">
        <v>797</v>
      </c>
      <c r="S45" s="1595" t="s">
        <v>798</v>
      </c>
      <c r="T45" s="1595" t="s">
        <v>799</v>
      </c>
      <c r="U45" s="1595" t="s">
        <v>800</v>
      </c>
      <c r="V45" s="1595" t="s">
        <v>801</v>
      </c>
      <c r="W45" s="1595" t="s">
        <v>802</v>
      </c>
      <c r="X45" s="1595" t="s">
        <v>803</v>
      </c>
      <c r="Y45" s="1595" t="s">
        <v>804</v>
      </c>
      <c r="Z45" s="1595" t="s">
        <v>805</v>
      </c>
      <c r="AA45" s="1595" t="s">
        <v>806</v>
      </c>
      <c r="AB45" s="1595" t="s">
        <v>807</v>
      </c>
      <c r="AC45" s="1595" t="s">
        <v>808</v>
      </c>
      <c r="AD45" s="1595" t="s">
        <v>809</v>
      </c>
      <c r="AE45" s="1595" t="s">
        <v>810</v>
      </c>
      <c r="AF45" s="1595" t="s">
        <v>811</v>
      </c>
      <c r="AG45" s="1595" t="s">
        <v>812</v>
      </c>
      <c r="AH45" s="1595" t="s">
        <v>813</v>
      </c>
      <c r="AI45" s="1595" t="s">
        <v>814</v>
      </c>
      <c r="AJ45" s="1317"/>
    </row>
    <row r="46" spans="1:36" ht="17.25" customHeight="1">
      <c r="A46" s="2008" t="s">
        <v>581</v>
      </c>
      <c r="B46" s="2009"/>
      <c r="C46" s="1130" t="s">
        <v>153</v>
      </c>
      <c r="D46" s="990" t="s">
        <v>154</v>
      </c>
      <c r="E46" s="990" t="s">
        <v>153</v>
      </c>
      <c r="F46" s="990" t="s">
        <v>154</v>
      </c>
      <c r="G46" s="990" t="s">
        <v>153</v>
      </c>
      <c r="H46" s="990" t="s">
        <v>154</v>
      </c>
      <c r="I46" s="990" t="s">
        <v>153</v>
      </c>
      <c r="J46" s="990" t="s">
        <v>154</v>
      </c>
      <c r="K46" s="990" t="s">
        <v>153</v>
      </c>
      <c r="L46" s="990" t="s">
        <v>154</v>
      </c>
      <c r="P46" s="1599"/>
      <c r="Q46" s="1599"/>
      <c r="R46" s="1599"/>
      <c r="S46" s="1599"/>
      <c r="T46" s="1599"/>
      <c r="U46" s="1599"/>
      <c r="V46" s="1599"/>
      <c r="W46" s="1599"/>
      <c r="X46" s="1599"/>
      <c r="Y46" s="1599"/>
      <c r="Z46" s="1599"/>
      <c r="AA46" s="1599"/>
      <c r="AB46" s="1599"/>
      <c r="AC46" s="1599"/>
      <c r="AD46" s="1599"/>
      <c r="AE46" s="1599"/>
      <c r="AF46" s="1599"/>
      <c r="AG46" s="1599"/>
      <c r="AH46" s="1599"/>
      <c r="AI46" s="1599"/>
    </row>
    <row r="47" spans="1:36" ht="17.25" customHeight="1">
      <c r="A47" s="2010"/>
      <c r="B47" s="2011"/>
      <c r="C47" s="1322">
        <f>P47+Q47</f>
        <v>577</v>
      </c>
      <c r="D47" s="1319">
        <f>R47+S47</f>
        <v>11283373</v>
      </c>
      <c r="E47" s="1319">
        <f>T47+U47</f>
        <v>370</v>
      </c>
      <c r="F47" s="1319">
        <f>V47+W47</f>
        <v>1870521</v>
      </c>
      <c r="G47" s="1319">
        <f>X47+Y47</f>
        <v>949</v>
      </c>
      <c r="H47" s="1319">
        <f>Z47+AA47</f>
        <v>13477807</v>
      </c>
      <c r="I47" s="1319">
        <f>AB47+AC47+AD47+AE47</f>
        <v>4</v>
      </c>
      <c r="J47" s="1319">
        <f>AF47+AG47+AH47+AI47</f>
        <v>65053</v>
      </c>
      <c r="K47" s="1319">
        <f>G47+I47</f>
        <v>953</v>
      </c>
      <c r="L47" s="1319">
        <f>H47+J47</f>
        <v>13542860</v>
      </c>
      <c r="P47" s="1630">
        <v>577</v>
      </c>
      <c r="Q47" s="1630">
        <v>0</v>
      </c>
      <c r="R47" s="1630">
        <v>11283373</v>
      </c>
      <c r="S47" s="1630">
        <v>0</v>
      </c>
      <c r="T47" s="1630">
        <v>370</v>
      </c>
      <c r="U47" s="1630">
        <v>0</v>
      </c>
      <c r="V47" s="1630">
        <v>1870521</v>
      </c>
      <c r="W47" s="1630">
        <v>0</v>
      </c>
      <c r="X47" s="1630">
        <v>949</v>
      </c>
      <c r="Y47" s="1630">
        <v>0</v>
      </c>
      <c r="Z47" s="1630">
        <v>13477807</v>
      </c>
      <c r="AA47" s="1630">
        <v>0</v>
      </c>
      <c r="AB47" s="1630">
        <v>4</v>
      </c>
      <c r="AC47" s="1630">
        <v>0</v>
      </c>
      <c r="AD47" s="1630">
        <v>0</v>
      </c>
      <c r="AE47" s="1630">
        <v>0</v>
      </c>
      <c r="AF47" s="1630">
        <v>65053</v>
      </c>
      <c r="AG47" s="1630">
        <v>0</v>
      </c>
      <c r="AH47" s="1630">
        <v>0</v>
      </c>
      <c r="AI47" s="1630">
        <v>0</v>
      </c>
    </row>
    <row r="48" spans="1:36" ht="17.25" customHeight="1">
      <c r="A48" s="2006"/>
      <c r="B48" s="2012" t="s">
        <v>587</v>
      </c>
      <c r="C48" s="1320"/>
      <c r="D48" s="1321"/>
      <c r="E48" s="1321"/>
      <c r="F48" s="1321"/>
      <c r="G48" s="1321"/>
      <c r="H48" s="1321"/>
      <c r="I48" s="1321"/>
      <c r="J48" s="1321"/>
      <c r="K48" s="1321"/>
      <c r="L48" s="1321"/>
      <c r="P48" s="1598"/>
      <c r="Q48" s="1598"/>
      <c r="R48" s="1598"/>
      <c r="S48" s="1598"/>
      <c r="T48" s="1598"/>
      <c r="U48" s="1598"/>
      <c r="V48" s="1598"/>
      <c r="W48" s="1598"/>
      <c r="X48" s="1598"/>
      <c r="Y48" s="1598"/>
      <c r="Z48" s="1598"/>
      <c r="AA48" s="1598"/>
      <c r="AB48" s="1598"/>
      <c r="AC48" s="1598"/>
      <c r="AD48" s="1598"/>
      <c r="AE48" s="1598"/>
      <c r="AF48" s="1598"/>
      <c r="AG48" s="1598"/>
      <c r="AH48" s="1598"/>
      <c r="AI48" s="1598"/>
    </row>
    <row r="49" spans="1:35" ht="17.25" customHeight="1">
      <c r="A49" s="2006"/>
      <c r="B49" s="2012"/>
      <c r="C49" s="1322">
        <f>P49+Q49</f>
        <v>406</v>
      </c>
      <c r="D49" s="1319">
        <f>R49+S49</f>
        <v>7919589</v>
      </c>
      <c r="E49" s="1319">
        <f>T49+U49</f>
        <v>260</v>
      </c>
      <c r="F49" s="1319">
        <f>V49+W49</f>
        <v>1325631</v>
      </c>
      <c r="G49" s="1319">
        <f>X49+Y49</f>
        <v>669</v>
      </c>
      <c r="H49" s="1319">
        <f>Z49+AA49</f>
        <v>9472048</v>
      </c>
      <c r="I49" s="1319">
        <f>AB49+AC49+AD49+AE49</f>
        <v>3</v>
      </c>
      <c r="J49" s="1319">
        <f>AF49+AG49+AH49+AI49</f>
        <v>45544</v>
      </c>
      <c r="K49" s="1319">
        <f>G49+I49</f>
        <v>672</v>
      </c>
      <c r="L49" s="1319">
        <f>H49+J49</f>
        <v>9517592</v>
      </c>
      <c r="P49" s="1630">
        <v>406</v>
      </c>
      <c r="Q49" s="1630">
        <v>0</v>
      </c>
      <c r="R49" s="1630">
        <v>7919589</v>
      </c>
      <c r="S49" s="1630">
        <v>0</v>
      </c>
      <c r="T49" s="1630">
        <v>260</v>
      </c>
      <c r="U49" s="1630">
        <v>0</v>
      </c>
      <c r="V49" s="1630">
        <v>1325631</v>
      </c>
      <c r="W49" s="1630">
        <v>0</v>
      </c>
      <c r="X49" s="1630">
        <v>669</v>
      </c>
      <c r="Y49" s="1630">
        <v>0</v>
      </c>
      <c r="Z49" s="1630">
        <v>9472048</v>
      </c>
      <c r="AA49" s="1630">
        <v>0</v>
      </c>
      <c r="AB49" s="1630">
        <v>3</v>
      </c>
      <c r="AC49" s="1630">
        <v>0</v>
      </c>
      <c r="AD49" s="1630">
        <v>0</v>
      </c>
      <c r="AE49" s="1630">
        <v>0</v>
      </c>
      <c r="AF49" s="1630">
        <v>45544</v>
      </c>
      <c r="AG49" s="1630">
        <v>0</v>
      </c>
      <c r="AH49" s="1630">
        <v>0</v>
      </c>
      <c r="AI49" s="1630">
        <v>0</v>
      </c>
    </row>
    <row r="50" spans="1:35" ht="17.25" customHeight="1">
      <c r="A50" s="2006"/>
      <c r="B50" s="2012" t="s">
        <v>16</v>
      </c>
      <c r="C50" s="1320"/>
      <c r="D50" s="1321"/>
      <c r="E50" s="1321"/>
      <c r="F50" s="1321"/>
      <c r="G50" s="1321"/>
      <c r="H50" s="1321"/>
      <c r="I50" s="1321"/>
      <c r="J50" s="1321"/>
      <c r="K50" s="1321"/>
      <c r="L50" s="1321"/>
      <c r="P50" s="1598"/>
      <c r="Q50" s="1598"/>
      <c r="R50" s="1598"/>
      <c r="S50" s="1598"/>
      <c r="T50" s="1598"/>
      <c r="U50" s="1598"/>
      <c r="V50" s="1598"/>
      <c r="W50" s="1598"/>
      <c r="X50" s="1598"/>
      <c r="Y50" s="1598"/>
      <c r="Z50" s="1598"/>
      <c r="AA50" s="1598"/>
      <c r="AB50" s="1598"/>
      <c r="AC50" s="1598"/>
      <c r="AD50" s="1598"/>
      <c r="AE50" s="1598"/>
      <c r="AF50" s="1598"/>
      <c r="AG50" s="1598"/>
      <c r="AH50" s="1598"/>
      <c r="AI50" s="1598"/>
    </row>
    <row r="51" spans="1:35" ht="17.25" customHeight="1" thickBot="1">
      <c r="A51" s="2007"/>
      <c r="B51" s="2013"/>
      <c r="C51" s="1323">
        <f>P51+Q51</f>
        <v>170</v>
      </c>
      <c r="D51" s="1324">
        <f>R51+S51</f>
        <v>3363784</v>
      </c>
      <c r="E51" s="1324">
        <f>T51+U51</f>
        <v>110</v>
      </c>
      <c r="F51" s="1324">
        <f>V51+W51</f>
        <v>544890</v>
      </c>
      <c r="G51" s="1324">
        <f>X51+Y51</f>
        <v>281</v>
      </c>
      <c r="H51" s="1324">
        <f>Z51+AA51</f>
        <v>4005758</v>
      </c>
      <c r="I51" s="1324">
        <f>AB51+AC51+AD51+AE51</f>
        <v>1</v>
      </c>
      <c r="J51" s="1324">
        <f>AF51+AG51+AH51+AI51</f>
        <v>19509</v>
      </c>
      <c r="K51" s="1324">
        <f>G51+I51</f>
        <v>282</v>
      </c>
      <c r="L51" s="1324">
        <f>H51+J51</f>
        <v>4025267</v>
      </c>
      <c r="P51" s="1630">
        <v>170</v>
      </c>
      <c r="Q51" s="1630">
        <v>0</v>
      </c>
      <c r="R51" s="1630">
        <v>3363784</v>
      </c>
      <c r="S51" s="1630">
        <v>0</v>
      </c>
      <c r="T51" s="1630">
        <v>110</v>
      </c>
      <c r="U51" s="1630">
        <v>0</v>
      </c>
      <c r="V51" s="1630">
        <v>544890</v>
      </c>
      <c r="W51" s="1630">
        <v>0</v>
      </c>
      <c r="X51" s="1630">
        <v>281</v>
      </c>
      <c r="Y51" s="1630">
        <v>0</v>
      </c>
      <c r="Z51" s="1630">
        <v>4005758</v>
      </c>
      <c r="AA51" s="1630">
        <v>0</v>
      </c>
      <c r="AB51" s="1630">
        <v>1</v>
      </c>
      <c r="AC51" s="1630">
        <v>0</v>
      </c>
      <c r="AD51" s="1630">
        <v>0</v>
      </c>
      <c r="AE51" s="1630">
        <v>0</v>
      </c>
      <c r="AF51" s="1630">
        <v>19509</v>
      </c>
      <c r="AG51" s="1630">
        <v>0</v>
      </c>
      <c r="AH51" s="1630">
        <v>0</v>
      </c>
      <c r="AI51" s="1630">
        <v>0</v>
      </c>
    </row>
    <row r="52" spans="1:35" ht="17.25" customHeight="1" thickTop="1">
      <c r="A52" s="2002" t="s">
        <v>164</v>
      </c>
      <c r="B52" s="2003"/>
      <c r="C52" s="1320"/>
      <c r="D52" s="1321"/>
      <c r="E52" s="1321"/>
      <c r="F52" s="1321"/>
      <c r="G52" s="1321"/>
      <c r="H52" s="1321"/>
      <c r="I52" s="1321"/>
      <c r="J52" s="1321"/>
      <c r="K52" s="1321"/>
      <c r="L52" s="1321"/>
      <c r="P52" s="1598"/>
      <c r="Q52" s="1598"/>
      <c r="R52" s="1598"/>
      <c r="S52" s="1598"/>
      <c r="T52" s="1598"/>
      <c r="U52" s="1598"/>
      <c r="V52" s="1598"/>
      <c r="W52" s="1598"/>
      <c r="X52" s="1598"/>
      <c r="Y52" s="1598"/>
      <c r="Z52" s="1598"/>
      <c r="AA52" s="1598"/>
      <c r="AB52" s="1598"/>
      <c r="AC52" s="1598"/>
      <c r="AD52" s="1598"/>
      <c r="AE52" s="1598"/>
      <c r="AF52" s="1598"/>
      <c r="AG52" s="1598"/>
      <c r="AH52" s="1598"/>
      <c r="AI52" s="1598"/>
    </row>
    <row r="53" spans="1:35" ht="17.25" customHeight="1">
      <c r="A53" s="2004"/>
      <c r="B53" s="2005"/>
      <c r="C53" s="1322">
        <f>P53</f>
        <v>873</v>
      </c>
      <c r="D53" s="1319">
        <f>R53</f>
        <v>15535555</v>
      </c>
      <c r="E53" s="1319">
        <f>T53</f>
        <v>534</v>
      </c>
      <c r="F53" s="1319">
        <f>V53</f>
        <v>2668914</v>
      </c>
      <c r="G53" s="1319">
        <f>X53</f>
        <v>1409</v>
      </c>
      <c r="H53" s="1319">
        <f>Z53</f>
        <v>18478723</v>
      </c>
      <c r="I53" s="1319">
        <f>AB53+AC53</f>
        <v>3</v>
      </c>
      <c r="J53" s="1319">
        <f>AF53+AG53</f>
        <v>62747</v>
      </c>
      <c r="K53" s="1319">
        <f>G53+I53</f>
        <v>1412</v>
      </c>
      <c r="L53" s="1319">
        <f>H53+J53</f>
        <v>18541470</v>
      </c>
      <c r="P53" s="1630">
        <v>873</v>
      </c>
      <c r="Q53" s="1636" t="s">
        <v>211</v>
      </c>
      <c r="R53" s="1630">
        <v>15535555</v>
      </c>
      <c r="S53" s="1636" t="s">
        <v>211</v>
      </c>
      <c r="T53" s="1630">
        <v>534</v>
      </c>
      <c r="U53" s="1636" t="s">
        <v>211</v>
      </c>
      <c r="V53" s="1630">
        <v>2668914</v>
      </c>
      <c r="W53" s="1636" t="s">
        <v>211</v>
      </c>
      <c r="X53" s="1630">
        <v>1409</v>
      </c>
      <c r="Y53" s="1636" t="s">
        <v>211</v>
      </c>
      <c r="Z53" s="1630">
        <v>18478723</v>
      </c>
      <c r="AA53" s="1636" t="s">
        <v>211</v>
      </c>
      <c r="AB53" s="1630">
        <v>3</v>
      </c>
      <c r="AC53" s="1630">
        <v>0</v>
      </c>
      <c r="AD53" s="1636" t="s">
        <v>211</v>
      </c>
      <c r="AE53" s="1636" t="s">
        <v>211</v>
      </c>
      <c r="AF53" s="1630">
        <v>62739</v>
      </c>
      <c r="AG53" s="1630">
        <v>8</v>
      </c>
      <c r="AH53" s="1636" t="s">
        <v>211</v>
      </c>
      <c r="AI53" s="1636" t="s">
        <v>211</v>
      </c>
    </row>
    <row r="54" spans="1:35">
      <c r="A54" s="57"/>
      <c r="B54" s="57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35">
      <c r="C55" s="930" t="s">
        <v>567</v>
      </c>
      <c r="D55" s="8"/>
      <c r="E55" s="8"/>
      <c r="F55" s="8"/>
      <c r="G55" s="8"/>
      <c r="H55" s="8"/>
      <c r="I55" s="8"/>
      <c r="J55" s="8"/>
      <c r="K55" s="8"/>
      <c r="L55" s="8"/>
    </row>
    <row r="56" spans="1:35">
      <c r="C56" s="930" t="s">
        <v>568</v>
      </c>
      <c r="D56" s="8"/>
      <c r="E56" s="8"/>
      <c r="F56" s="8"/>
      <c r="G56" s="8"/>
      <c r="H56" s="8"/>
      <c r="I56" s="8"/>
      <c r="J56" s="8"/>
      <c r="K56" s="8"/>
      <c r="L56" s="8"/>
    </row>
    <row r="57" spans="1:35">
      <c r="C57" s="493" t="s">
        <v>571</v>
      </c>
      <c r="D57" s="8"/>
      <c r="E57" s="8"/>
      <c r="F57" s="8"/>
      <c r="G57" s="8"/>
      <c r="H57" s="8"/>
      <c r="I57" s="8"/>
      <c r="J57" s="8"/>
      <c r="K57" s="8"/>
      <c r="L57" s="8"/>
    </row>
    <row r="58" spans="1:35">
      <c r="C58" s="493" t="s">
        <v>569</v>
      </c>
      <c r="E58" s="43"/>
      <c r="F58" s="43"/>
      <c r="G58" s="43"/>
      <c r="H58" s="43"/>
      <c r="I58" s="43"/>
      <c r="J58" s="43"/>
      <c r="K58" s="43"/>
      <c r="L58" s="43"/>
    </row>
    <row r="59" spans="1:35">
      <c r="C59" s="931" t="s">
        <v>570</v>
      </c>
      <c r="E59" s="43"/>
      <c r="F59" s="43"/>
      <c r="G59" s="43"/>
      <c r="H59" s="43"/>
      <c r="I59" s="43"/>
      <c r="J59" s="43"/>
      <c r="K59" s="43"/>
      <c r="L59" s="43"/>
    </row>
    <row r="60" spans="1:35">
      <c r="C60" s="930" t="s">
        <v>566</v>
      </c>
    </row>
  </sheetData>
  <sheetProtection selectLockedCells="1" selectUnlockedCells="1"/>
  <mergeCells count="84">
    <mergeCell ref="A4:B6"/>
    <mergeCell ref="A17:B19"/>
    <mergeCell ref="A20:B21"/>
    <mergeCell ref="B22:B23"/>
    <mergeCell ref="B24:B25"/>
    <mergeCell ref="A22:A23"/>
    <mergeCell ref="A24:A25"/>
    <mergeCell ref="A9:A10"/>
    <mergeCell ref="A11:A12"/>
    <mergeCell ref="A7:B8"/>
    <mergeCell ref="B9:B10"/>
    <mergeCell ref="B11:B12"/>
    <mergeCell ref="A13:B14"/>
    <mergeCell ref="I43:J43"/>
    <mergeCell ref="A50:A51"/>
    <mergeCell ref="K43:L43"/>
    <mergeCell ref="C44:D44"/>
    <mergeCell ref="E44:F44"/>
    <mergeCell ref="G44:H44"/>
    <mergeCell ref="A48:A49"/>
    <mergeCell ref="A43:B45"/>
    <mergeCell ref="A46:B47"/>
    <mergeCell ref="B48:B49"/>
    <mergeCell ref="B50:B51"/>
    <mergeCell ref="A52:B53"/>
    <mergeCell ref="A35:A36"/>
    <mergeCell ref="A37:A38"/>
    <mergeCell ref="C43:H43"/>
    <mergeCell ref="A33:B34"/>
    <mergeCell ref="B35:B36"/>
    <mergeCell ref="B37:B38"/>
    <mergeCell ref="A39:B40"/>
    <mergeCell ref="A26:B27"/>
    <mergeCell ref="A30:B32"/>
    <mergeCell ref="I17:J17"/>
    <mergeCell ref="K17:L17"/>
    <mergeCell ref="C18:D18"/>
    <mergeCell ref="E18:F18"/>
    <mergeCell ref="G18:H18"/>
    <mergeCell ref="C17:H17"/>
    <mergeCell ref="I30:J30"/>
    <mergeCell ref="K30:L30"/>
    <mergeCell ref="C31:D31"/>
    <mergeCell ref="E31:F31"/>
    <mergeCell ref="G31:H31"/>
    <mergeCell ref="C30:H30"/>
    <mergeCell ref="C4:H4"/>
    <mergeCell ref="I4:J4"/>
    <mergeCell ref="K4:L4"/>
    <mergeCell ref="C5:D5"/>
    <mergeCell ref="E5:F5"/>
    <mergeCell ref="G5:H5"/>
    <mergeCell ref="P3:P5"/>
    <mergeCell ref="Q3:Q5"/>
    <mergeCell ref="R3:R5"/>
    <mergeCell ref="S3:S5"/>
    <mergeCell ref="P16:P18"/>
    <mergeCell ref="Q16:Q18"/>
    <mergeCell ref="R16:R18"/>
    <mergeCell ref="S16:S18"/>
    <mergeCell ref="P29:P31"/>
    <mergeCell ref="Q29:Q31"/>
    <mergeCell ref="R29:R31"/>
    <mergeCell ref="S29:S31"/>
    <mergeCell ref="P42:P44"/>
    <mergeCell ref="Q42:Q44"/>
    <mergeCell ref="R42:R44"/>
    <mergeCell ref="S42:S44"/>
    <mergeCell ref="T42:T44"/>
    <mergeCell ref="U42:U44"/>
    <mergeCell ref="V42:V44"/>
    <mergeCell ref="W42:W44"/>
    <mergeCell ref="X42:X44"/>
    <mergeCell ref="Y42:Y44"/>
    <mergeCell ref="Z42:Z44"/>
    <mergeCell ref="AA42:AA44"/>
    <mergeCell ref="AB42:AB44"/>
    <mergeCell ref="AC42:AC44"/>
    <mergeCell ref="AI42:AI44"/>
    <mergeCell ref="AD42:AD44"/>
    <mergeCell ref="AE42:AE44"/>
    <mergeCell ref="AF42:AF44"/>
    <mergeCell ref="AG42:AG44"/>
    <mergeCell ref="AH42:AH44"/>
  </mergeCells>
  <phoneticPr fontId="27"/>
  <pageMargins left="0.78740157480314965" right="0.78740157480314965" top="0.78740157480314965" bottom="0.59055118110236227" header="0.51181102362204722" footer="0.39370078740157483"/>
  <pageSetup paperSize="9" scale="78" firstPageNumber="44" orientation="portrait" useFirstPageNumber="1" r:id="rId1"/>
  <headerFooter alignWithMargins="0"/>
  <rowBreaks count="1" manualBreakCount="1">
    <brk id="28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B37"/>
  <sheetViews>
    <sheetView view="pageBreakPreview" zoomScaleNormal="100" zoomScaleSheetLayoutView="100" workbookViewId="0"/>
  </sheetViews>
  <sheetFormatPr defaultColWidth="9" defaultRowHeight="12"/>
  <cols>
    <col min="1" max="1" width="3.21875" style="1" customWidth="1" collapsed="1"/>
    <col min="2" max="2" width="4.109375" style="1" customWidth="1" collapsed="1"/>
    <col min="3" max="3" width="1.88671875" style="2" customWidth="1" collapsed="1"/>
    <col min="4" max="4" width="9" style="2" collapsed="1"/>
    <col min="5" max="10" width="9" style="1" collapsed="1"/>
    <col min="11" max="11" width="6.33203125" style="1" customWidth="1" collapsed="1"/>
    <col min="12" max="12" width="3.77734375" style="1" customWidth="1" collapsed="1"/>
    <col min="13" max="13" width="0.77734375" style="1" customWidth="1" collapsed="1"/>
    <col min="14" max="14" width="9" style="1" collapsed="1"/>
    <col min="15" max="22" width="0" style="1" hidden="1" customWidth="1" collapsed="1"/>
    <col min="23" max="28" width="10.6640625" style="1" hidden="1" customWidth="1" collapsed="1"/>
    <col min="29" max="16384" width="9" style="1" collapsed="1"/>
  </cols>
  <sheetData>
    <row r="1" spans="1:28" s="22" customFormat="1" ht="20.399999999999999" customHeight="1">
      <c r="A1" s="22" t="s">
        <v>194</v>
      </c>
      <c r="C1" s="47"/>
      <c r="D1" s="47"/>
    </row>
    <row r="2" spans="1:28" s="22" customFormat="1" ht="22.5" customHeight="1">
      <c r="B2" s="1202" t="str">
        <f>DBCS(情報!$D$2&amp;"の診療費諸率は図５、図６、図７、図８、表１２のとおりである。")</f>
        <v>令和３年度の診療費諸率は図５、図６、図７、図８、表１２のとおりである。</v>
      </c>
      <c r="C2" s="618"/>
      <c r="D2" s="772"/>
    </row>
    <row r="3" spans="1:28" s="22" customFormat="1" ht="9" customHeight="1">
      <c r="B3" s="618"/>
      <c r="C3" s="772"/>
      <c r="D3" s="772"/>
    </row>
    <row r="4" spans="1:28" s="22" customFormat="1" ht="24" customHeight="1">
      <c r="B4" s="772"/>
      <c r="C4" s="772"/>
      <c r="D4" s="772" t="s">
        <v>598</v>
      </c>
      <c r="E4" s="751"/>
      <c r="F4" s="751"/>
      <c r="G4" s="751"/>
      <c r="H4" s="751"/>
      <c r="I4" s="751"/>
      <c r="J4" s="751"/>
      <c r="K4" s="751"/>
      <c r="L4" s="47"/>
    </row>
    <row r="5" spans="1:28" ht="20.399999999999999" customHeight="1">
      <c r="E5" s="96"/>
      <c r="F5" s="96"/>
      <c r="G5" s="96"/>
      <c r="H5" s="96"/>
      <c r="I5" s="96"/>
      <c r="J5" s="96"/>
      <c r="K5" s="96"/>
    </row>
    <row r="6" spans="1:28" ht="20.399999999999999" customHeight="1">
      <c r="B6" s="58"/>
      <c r="E6" s="96"/>
      <c r="F6" s="96"/>
      <c r="G6" s="96"/>
      <c r="H6" s="96"/>
      <c r="I6" s="96"/>
      <c r="J6" s="96"/>
    </row>
    <row r="7" spans="1:28" ht="20.399999999999999" customHeight="1">
      <c r="D7"/>
    </row>
    <row r="8" spans="1:28" ht="20.399999999999999" customHeight="1">
      <c r="P8" s="1" t="s">
        <v>530</v>
      </c>
    </row>
    <row r="9" spans="1:28" ht="20.399999999999999" customHeight="1">
      <c r="P9" s="652"/>
      <c r="Q9" s="655" t="s">
        <v>486</v>
      </c>
      <c r="R9" s="654"/>
      <c r="S9" s="652"/>
      <c r="T9" s="655" t="s">
        <v>484</v>
      </c>
      <c r="U9" s="653"/>
      <c r="W9" s="2014" t="s">
        <v>819</v>
      </c>
      <c r="X9" s="2014"/>
      <c r="Y9" s="2014" t="s">
        <v>820</v>
      </c>
      <c r="Z9" s="2014"/>
      <c r="AA9" s="2014" t="s">
        <v>821</v>
      </c>
      <c r="AB9" s="2014"/>
    </row>
    <row r="10" spans="1:28" ht="20.399999999999999" customHeight="1">
      <c r="E10" s="96"/>
      <c r="F10" s="96"/>
      <c r="G10" s="96"/>
      <c r="H10" s="96"/>
      <c r="I10" s="96"/>
      <c r="J10" s="96"/>
      <c r="K10" s="96"/>
      <c r="P10" s="652" t="s">
        <v>491</v>
      </c>
      <c r="Q10" s="687" t="s">
        <v>562</v>
      </c>
      <c r="R10" s="686" t="s">
        <v>481</v>
      </c>
      <c r="S10" s="652" t="s">
        <v>491</v>
      </c>
      <c r="T10" s="687" t="s">
        <v>562</v>
      </c>
      <c r="U10" s="686" t="s">
        <v>481</v>
      </c>
      <c r="W10" s="1606" t="s">
        <v>137</v>
      </c>
      <c r="X10" s="1606" t="s">
        <v>155</v>
      </c>
      <c r="Y10" s="1606" t="s">
        <v>137</v>
      </c>
      <c r="Z10" s="1606" t="s">
        <v>155</v>
      </c>
      <c r="AA10" s="1606" t="s">
        <v>137</v>
      </c>
      <c r="AB10" s="1606" t="s">
        <v>155</v>
      </c>
    </row>
    <row r="11" spans="1:28" ht="20.399999999999999" customHeight="1">
      <c r="E11" s="96"/>
      <c r="F11" s="2"/>
      <c r="G11" s="96"/>
      <c r="H11" s="96"/>
      <c r="I11" s="96"/>
      <c r="J11" s="96"/>
      <c r="K11" s="96"/>
      <c r="P11" s="1336" t="str">
        <f>情報!$F$6</f>
        <v>29年度</v>
      </c>
      <c r="Q11" s="1337">
        <f>IF(W11=0,"－",ROUND(Y11/W11*100,3))</f>
        <v>18.271000000000001</v>
      </c>
      <c r="R11" s="1337">
        <f>IF(X11=0,"－",ROUND(Z11/X11*100,3))</f>
        <v>10.988</v>
      </c>
      <c r="S11" s="1336" t="str">
        <f>P11</f>
        <v>29年度</v>
      </c>
      <c r="T11" s="1337">
        <f>IF(W11=0,"－",ROUND(AA11/W11*100,3))</f>
        <v>199.47300000000001</v>
      </c>
      <c r="U11" s="1337">
        <f>IF(X11=0,"－",ROUND(AB11/X11*100,3))</f>
        <v>168.71299999999999</v>
      </c>
      <c r="W11" s="1607">
        <v>3176635</v>
      </c>
      <c r="X11" s="1607">
        <v>1267006</v>
      </c>
      <c r="Y11" s="1607">
        <v>580389</v>
      </c>
      <c r="Z11" s="1607">
        <v>139222</v>
      </c>
      <c r="AA11" s="1607">
        <v>6336520</v>
      </c>
      <c r="AB11" s="1607">
        <v>2137607</v>
      </c>
    </row>
    <row r="12" spans="1:28" ht="20.399999999999999" customHeight="1">
      <c r="C12" s="1"/>
      <c r="K12" s="58"/>
      <c r="P12" s="1336" t="str">
        <f>情報!$F$5</f>
        <v>30年度</v>
      </c>
      <c r="Q12" s="1337">
        <f t="shared" ref="Q12:Q15" si="0">IF(W12=0,"－",ROUND(Y12/W12*100,3))</f>
        <v>18.347999999999999</v>
      </c>
      <c r="R12" s="1337">
        <f t="shared" ref="R12:R15" si="1">IF(X12=0,"－",ROUND(Z12/X12*100,3))</f>
        <v>10.85</v>
      </c>
      <c r="S12" s="1336" t="str">
        <f>P12</f>
        <v>30年度</v>
      </c>
      <c r="T12" s="1337">
        <f t="shared" ref="T12:T15" si="2">IF(W12=0,"－",ROUND(AA12/W12*100,3))</f>
        <v>200.68899999999999</v>
      </c>
      <c r="U12" s="1337">
        <f t="shared" ref="U12:U15" si="3">IF(X12=0,"－",ROUND(AB12/X12*100,3))</f>
        <v>171.33</v>
      </c>
      <c r="W12" s="1607">
        <v>3061405</v>
      </c>
      <c r="X12" s="1607">
        <v>1254787</v>
      </c>
      <c r="Y12" s="1607">
        <v>561714</v>
      </c>
      <c r="Z12" s="1607">
        <v>136150</v>
      </c>
      <c r="AA12" s="1607">
        <v>6143915</v>
      </c>
      <c r="AB12" s="1607">
        <v>2149829</v>
      </c>
    </row>
    <row r="13" spans="1:28" ht="20.399999999999999" customHeight="1">
      <c r="D13" s="96"/>
      <c r="E13" s="96"/>
      <c r="F13" s="96"/>
      <c r="G13" s="96"/>
      <c r="H13" s="96"/>
      <c r="I13" s="96"/>
      <c r="J13" s="96"/>
      <c r="K13" s="96"/>
      <c r="P13" s="1336" t="str">
        <f>情報!$F$4</f>
        <v>元年度</v>
      </c>
      <c r="Q13" s="1337">
        <f t="shared" si="0"/>
        <v>18.442</v>
      </c>
      <c r="R13" s="1337">
        <f t="shared" si="1"/>
        <v>10.715999999999999</v>
      </c>
      <c r="S13" s="1336" t="str">
        <f>P13</f>
        <v>元年度</v>
      </c>
      <c r="T13" s="1337">
        <f t="shared" si="2"/>
        <v>205.38800000000001</v>
      </c>
      <c r="U13" s="1337">
        <f t="shared" si="3"/>
        <v>175.15100000000001</v>
      </c>
      <c r="W13" s="1607">
        <v>2947512</v>
      </c>
      <c r="X13" s="1607">
        <v>1249564</v>
      </c>
      <c r="Y13" s="1607">
        <v>543579</v>
      </c>
      <c r="Z13" s="1607">
        <v>133904</v>
      </c>
      <c r="AA13" s="1607">
        <v>6053843</v>
      </c>
      <c r="AB13" s="1607">
        <v>2188626</v>
      </c>
    </row>
    <row r="14" spans="1:28" ht="20.399999999999999" customHeight="1">
      <c r="C14" s="685"/>
      <c r="P14" s="1336" t="str">
        <f>情報!$F$3</f>
        <v>2年度</v>
      </c>
      <c r="Q14" s="1337">
        <f t="shared" si="0"/>
        <v>17.940999999999999</v>
      </c>
      <c r="R14" s="1337">
        <f t="shared" si="1"/>
        <v>9.8170000000000002</v>
      </c>
      <c r="S14" s="1336" t="str">
        <f>P14</f>
        <v>2年度</v>
      </c>
      <c r="T14" s="1337">
        <f t="shared" si="2"/>
        <v>181.4</v>
      </c>
      <c r="U14" s="1337">
        <f t="shared" si="3"/>
        <v>164.035</v>
      </c>
      <c r="W14" s="1607">
        <v>2859114</v>
      </c>
      <c r="X14" s="1607">
        <v>1244575</v>
      </c>
      <c r="Y14" s="1607">
        <v>512951</v>
      </c>
      <c r="Z14" s="1607">
        <v>122174</v>
      </c>
      <c r="AA14" s="1607">
        <v>5186430</v>
      </c>
      <c r="AB14" s="1607">
        <v>2041543</v>
      </c>
    </row>
    <row r="15" spans="1:28" ht="20.399999999999999" customHeight="1">
      <c r="P15" s="1336" t="str">
        <f>情報!$F$2</f>
        <v>3年度</v>
      </c>
      <c r="Q15" s="1337">
        <f t="shared" si="0"/>
        <v>18.210999999999999</v>
      </c>
      <c r="R15" s="1337">
        <f t="shared" si="1"/>
        <v>10.099</v>
      </c>
      <c r="S15" s="1336" t="str">
        <f>P15</f>
        <v>3年度</v>
      </c>
      <c r="T15" s="1337">
        <f t="shared" si="2"/>
        <v>202.55199999999999</v>
      </c>
      <c r="U15" s="1337">
        <f t="shared" si="3"/>
        <v>176.30699999999999</v>
      </c>
      <c r="W15" s="1607">
        <v>2778580</v>
      </c>
      <c r="X15" s="1607">
        <v>1239305</v>
      </c>
      <c r="Y15" s="1607">
        <v>506013</v>
      </c>
      <c r="Z15" s="1607">
        <v>125154</v>
      </c>
      <c r="AA15" s="1607">
        <v>5628061</v>
      </c>
      <c r="AB15" s="1607">
        <v>2184980</v>
      </c>
    </row>
    <row r="16" spans="1:28" ht="20.399999999999999" customHeight="1">
      <c r="P16" s="1336"/>
      <c r="Q16" s="1338" t="s">
        <v>172</v>
      </c>
      <c r="R16" s="1339"/>
      <c r="S16" s="1336"/>
      <c r="T16" s="1338" t="s">
        <v>30</v>
      </c>
      <c r="U16" s="1340"/>
      <c r="W16" s="2014" t="s">
        <v>819</v>
      </c>
      <c r="X16" s="2014"/>
      <c r="Y16" s="2014" t="s">
        <v>822</v>
      </c>
      <c r="Z16" s="2014"/>
      <c r="AA16" s="2014" t="s">
        <v>756</v>
      </c>
      <c r="AB16" s="2014"/>
    </row>
    <row r="17" spans="2:28" ht="20.399999999999999" customHeight="1">
      <c r="P17" s="1336" t="s">
        <v>491</v>
      </c>
      <c r="Q17" s="1332" t="s">
        <v>562</v>
      </c>
      <c r="R17" s="1332" t="s">
        <v>481</v>
      </c>
      <c r="S17" s="1336" t="s">
        <v>491</v>
      </c>
      <c r="T17" s="1332" t="s">
        <v>562</v>
      </c>
      <c r="U17" s="1332" t="s">
        <v>481</v>
      </c>
      <c r="W17" s="1606" t="s">
        <v>137</v>
      </c>
      <c r="X17" s="1606" t="s">
        <v>155</v>
      </c>
      <c r="Y17" s="1606" t="s">
        <v>137</v>
      </c>
      <c r="Z17" s="1606" t="s">
        <v>155</v>
      </c>
      <c r="AA17" s="1606" t="s">
        <v>137</v>
      </c>
      <c r="AB17" s="1606" t="s">
        <v>155</v>
      </c>
    </row>
    <row r="18" spans="2:28" ht="20.399999999999999" customHeight="1">
      <c r="B18" s="3"/>
      <c r="P18" s="1336" t="str">
        <f>P11</f>
        <v>29年度</v>
      </c>
      <c r="Q18" s="1337">
        <f>IF(W18=0,"－",ROUND(Y18/W18*100,3))</f>
        <v>785.01599999999996</v>
      </c>
      <c r="R18" s="1337">
        <f>IF(X18=0,"－",ROUND(Z18/X18*100,3))</f>
        <v>648.07299999999998</v>
      </c>
      <c r="S18" s="1336" t="str">
        <f>P11</f>
        <v>29年度</v>
      </c>
      <c r="T18" s="1337">
        <f>IF(W18=0,"－",ROUND(AA18/W18*100,3))</f>
        <v>1002.759</v>
      </c>
      <c r="U18" s="1337">
        <f>IF(X18=0,"－",ROUND(AB18/X18*100,3))</f>
        <v>827.77499999999998</v>
      </c>
      <c r="W18" s="1607">
        <f>W11</f>
        <v>3176635</v>
      </c>
      <c r="X18" s="1607">
        <f>X11</f>
        <v>1267006</v>
      </c>
      <c r="Y18" s="1607">
        <v>24937086</v>
      </c>
      <c r="Z18" s="1607">
        <v>8211129</v>
      </c>
      <c r="AA18" s="1607">
        <v>31853995</v>
      </c>
      <c r="AB18" s="1607">
        <v>10487958</v>
      </c>
    </row>
    <row r="19" spans="2:28" ht="20.399999999999999" customHeight="1">
      <c r="B19" s="3"/>
      <c r="P19" s="1336" t="str">
        <f>P12</f>
        <v>30年度</v>
      </c>
      <c r="Q19" s="1337">
        <f t="shared" ref="Q19:R22" si="4">IF(W19=0,"－",ROUND(Y19/W19*100,3))</f>
        <v>792.41800000000001</v>
      </c>
      <c r="R19" s="1337">
        <f t="shared" si="4"/>
        <v>650.74699999999996</v>
      </c>
      <c r="S19" s="1336" t="str">
        <f>P12</f>
        <v>30年度</v>
      </c>
      <c r="T19" s="1337">
        <f t="shared" ref="T19:T22" si="5">IF(W19=0,"－",ROUND(AA19/W19*100,3))</f>
        <v>1011.455</v>
      </c>
      <c r="U19" s="1337">
        <f t="shared" ref="U19:U22" si="6">IF(X19=0,"－",ROUND(AB19/X19*100,3))</f>
        <v>832.928</v>
      </c>
      <c r="W19" s="1607">
        <f t="shared" ref="W19:X19" si="7">W12</f>
        <v>3061405</v>
      </c>
      <c r="X19" s="1607">
        <f t="shared" si="7"/>
        <v>1254787</v>
      </c>
      <c r="Y19" s="1607">
        <v>24259116</v>
      </c>
      <c r="Z19" s="1607">
        <v>8165493</v>
      </c>
      <c r="AA19" s="1607">
        <v>30964745</v>
      </c>
      <c r="AB19" s="1607">
        <v>10451472</v>
      </c>
    </row>
    <row r="20" spans="2:28" ht="20.399999999999999" customHeight="1">
      <c r="P20" s="1336" t="str">
        <f>P13</f>
        <v>元年度</v>
      </c>
      <c r="Q20" s="1337">
        <f t="shared" si="4"/>
        <v>795.39200000000005</v>
      </c>
      <c r="R20" s="1337">
        <f t="shared" si="4"/>
        <v>644.09500000000003</v>
      </c>
      <c r="S20" s="1336" t="str">
        <f>P13</f>
        <v>元年度</v>
      </c>
      <c r="T20" s="1337">
        <f t="shared" si="5"/>
        <v>1019.222</v>
      </c>
      <c r="U20" s="1337">
        <f t="shared" si="6"/>
        <v>829.96199999999999</v>
      </c>
      <c r="W20" s="1607">
        <f t="shared" ref="W20:X20" si="8">W13</f>
        <v>2947512</v>
      </c>
      <c r="X20" s="1607">
        <f t="shared" si="8"/>
        <v>1249564</v>
      </c>
      <c r="Y20" s="1607">
        <v>23444267</v>
      </c>
      <c r="Z20" s="1607">
        <v>8048376</v>
      </c>
      <c r="AA20" s="1607">
        <v>30041689</v>
      </c>
      <c r="AB20" s="1607">
        <v>10370906</v>
      </c>
    </row>
    <row r="21" spans="2:28" ht="20.399999999999999" customHeight="1">
      <c r="P21" s="1336" t="str">
        <f>P14</f>
        <v>2年度</v>
      </c>
      <c r="Q21" s="1337">
        <f t="shared" si="4"/>
        <v>717.49400000000003</v>
      </c>
      <c r="R21" s="1337">
        <f t="shared" si="4"/>
        <v>568.76</v>
      </c>
      <c r="S21" s="1336" t="str">
        <f>P14</f>
        <v>2年度</v>
      </c>
      <c r="T21" s="1337">
        <f t="shared" si="5"/>
        <v>916.83399999999995</v>
      </c>
      <c r="U21" s="1337">
        <f t="shared" si="6"/>
        <v>742.61099999999999</v>
      </c>
      <c r="W21" s="1607">
        <f t="shared" ref="W21:X21" si="9">W14</f>
        <v>2859114</v>
      </c>
      <c r="X21" s="1607">
        <f t="shared" si="9"/>
        <v>1244575</v>
      </c>
      <c r="Y21" s="1607">
        <v>20513962</v>
      </c>
      <c r="Z21" s="1607">
        <v>7078640</v>
      </c>
      <c r="AA21" s="1607">
        <v>26213343</v>
      </c>
      <c r="AB21" s="1607">
        <v>9242357</v>
      </c>
    </row>
    <row r="22" spans="2:28" ht="20.399999999999999" customHeight="1">
      <c r="P22" s="1336" t="str">
        <f>P15</f>
        <v>3年度</v>
      </c>
      <c r="Q22" s="1337">
        <f t="shared" si="4"/>
        <v>783.96299999999997</v>
      </c>
      <c r="R22" s="1337">
        <f t="shared" si="4"/>
        <v>613.55899999999997</v>
      </c>
      <c r="S22" s="1336" t="str">
        <f>P15</f>
        <v>3年度</v>
      </c>
      <c r="T22" s="1337">
        <f t="shared" si="5"/>
        <v>1004.726</v>
      </c>
      <c r="U22" s="1337">
        <f t="shared" si="6"/>
        <v>799.96500000000003</v>
      </c>
      <c r="W22" s="1607">
        <f t="shared" ref="W22:X22" si="10">W15</f>
        <v>2778580</v>
      </c>
      <c r="X22" s="1607">
        <f t="shared" si="10"/>
        <v>1239305</v>
      </c>
      <c r="Y22" s="1607">
        <v>21783034</v>
      </c>
      <c r="Z22" s="1607">
        <v>7603870</v>
      </c>
      <c r="AA22" s="1607">
        <v>27917108</v>
      </c>
      <c r="AB22" s="1607">
        <v>9914004</v>
      </c>
    </row>
    <row r="23" spans="2:28" ht="20.399999999999999" customHeight="1"/>
    <row r="24" spans="2:28" ht="20.399999999999999" customHeight="1">
      <c r="K24" s="58"/>
      <c r="O24" s="1" t="s">
        <v>235</v>
      </c>
      <c r="P24" s="8" t="s">
        <v>486</v>
      </c>
      <c r="X24" s="1" t="s">
        <v>294</v>
      </c>
    </row>
    <row r="25" spans="2:28" ht="20.399999999999999" customHeight="1">
      <c r="C25" s="685"/>
      <c r="P25" s="8" t="s">
        <v>483</v>
      </c>
      <c r="Q25" s="1" t="str">
        <f>Q10</f>
        <v>公営</v>
      </c>
      <c r="R25" s="1" t="str">
        <f>R10</f>
        <v>組合</v>
      </c>
      <c r="S25" s="1" t="e">
        <f>#REF!</f>
        <v>#REF!</v>
      </c>
      <c r="X25" s="652" t="s">
        <v>137</v>
      </c>
      <c r="Y25" s="652" t="s">
        <v>490</v>
      </c>
      <c r="Z25" s="652" t="s">
        <v>489</v>
      </c>
      <c r="AA25" s="652" t="s">
        <v>488</v>
      </c>
      <c r="AB25" s="652" t="s">
        <v>457</v>
      </c>
    </row>
    <row r="26" spans="2:28" ht="20.399999999999999" customHeight="1">
      <c r="P26" s="1" t="str">
        <f>"{"&amp;""""&amp;P11&amp;""""&amp;","&amp;""""&amp;P12&amp;""""&amp;","&amp;""""&amp;P13&amp;""""&amp;","&amp;""""&amp;P14&amp;""""&amp;","&amp;""""&amp;P15&amp;""""&amp;"}"</f>
        <v>{"29年度","30年度","元年度","2年度","3年度"}</v>
      </c>
      <c r="Q26" s="1" t="str">
        <f>"{"&amp;ROUND(Q11,3)&amp;","&amp;ROUND(Q12,3)&amp;","&amp;ROUND(Q13,3)&amp;","&amp;ROUND(Q14,3)&amp;","&amp;ROUND(Q15,3)&amp;"}"</f>
        <v>{18.271,18.348,18.442,17.941,18.211}</v>
      </c>
      <c r="R26" s="1" t="str">
        <f>"{"&amp;ROUND(R11,3)&amp;","&amp;ROUND(R12,3)&amp;","&amp;ROUND(R13,3)&amp;","&amp;ROUND(R14,3)&amp;","&amp;ROUND(R15,3)&amp;"}"</f>
        <v>{10.988,10.85,10.716,9.817,10.099}</v>
      </c>
      <c r="S26" s="1" t="e">
        <f>"{"&amp;ROUND(#REF!,3)&amp;","&amp;ROUND(#REF!,3)&amp;","&amp;ROUND(#REF!,3)&amp;","&amp;ROUND(#REF!,3)&amp;","&amp;ROUND(#REF!,3)&amp;"}"</f>
        <v>#REF!</v>
      </c>
      <c r="X26" s="652" t="s">
        <v>487</v>
      </c>
      <c r="Y26" s="652" t="str">
        <f>FIXED(Q15,3)</f>
        <v>18.211</v>
      </c>
      <c r="Z26" s="652" t="str">
        <f>FIXED(Q22,3)</f>
        <v>783.963</v>
      </c>
      <c r="AA26" s="652" t="str">
        <f>FIXED(T15,3)</f>
        <v>202.552</v>
      </c>
      <c r="AB26" s="652" t="str">
        <f>FIXED(T22,3)</f>
        <v>1,004.726</v>
      </c>
    </row>
    <row r="27" spans="2:28" ht="20.399999999999999" customHeight="1">
      <c r="P27" s="8" t="s">
        <v>172</v>
      </c>
      <c r="X27" s="652" t="s">
        <v>485</v>
      </c>
      <c r="Y27" s="652">
        <f>ROUND(Q15/Q14*100,1)-100</f>
        <v>1.5</v>
      </c>
      <c r="Z27" s="652">
        <f>ROUND(Q22/Q21*100,1)-100</f>
        <v>9.2999999999999972</v>
      </c>
      <c r="AA27" s="652">
        <f>ROUND(T15/T14*100,1)-100</f>
        <v>11.700000000000003</v>
      </c>
      <c r="AB27" s="652">
        <f>ROUND(T22/T21*100,1)-100</f>
        <v>9.5999999999999943</v>
      </c>
    </row>
    <row r="28" spans="2:28" ht="20.399999999999999" customHeight="1">
      <c r="P28" s="8" t="s">
        <v>483</v>
      </c>
      <c r="Q28" s="1" t="str">
        <f>Q17</f>
        <v>公営</v>
      </c>
      <c r="R28" s="1" t="str">
        <f>R17</f>
        <v>組合</v>
      </c>
      <c r="S28" s="1" t="e">
        <f>#REF!</f>
        <v>#REF!</v>
      </c>
      <c r="X28" s="652"/>
      <c r="Y28" s="674" t="str">
        <f>IF(Y27=0,IF(Q15=Q14,"増減なし",IF(Q15&gt;Q14,"微増","微減")),IF(Y27&lt;0,FIXED(ABS(Y27),1)&amp;"％減",FIXED(ABS(Y27),1)&amp;"％増"))</f>
        <v>1.5％増</v>
      </c>
      <c r="Z28" s="674" t="str">
        <f>IF(Z27=0,IF(Q22=Q21,"増減なし",IF(Q22&gt;Q21,"微増","微減")),IF(Z27&lt;0,FIXED(ABS(Z27),1)&amp;"％減",FIXED(ABS(Z27),1)&amp;"％増"))</f>
        <v>9.3％増</v>
      </c>
      <c r="AA28" s="674" t="str">
        <f>IF(AA27=0,IF(T15=T14,"増減なし",IF(T15&gt;T14,"微増","微減")),IF(AA27&lt;0,FIXED(ABS(AA27),1)&amp;"％減",FIXED(ABS(AA27),1)&amp;"％増"))</f>
        <v>11.7％増</v>
      </c>
      <c r="AB28" s="674" t="str">
        <f>IF(AB27=0,IF(T15=T14,"増減なし",IF(T15&gt;T14,"微増","微減")),IF(AB27&lt;0,FIXED(ABS(AB27),1)&amp;"％減",FIXED(ABS(AB27),1)&amp;"％増"))</f>
        <v>9.6％増</v>
      </c>
    </row>
    <row r="29" spans="2:28" ht="20.399999999999999" customHeight="1">
      <c r="B29" s="3"/>
      <c r="K29" s="58"/>
      <c r="P29" s="1" t="str">
        <f>"{"&amp;""""&amp;P18&amp;""""&amp;","&amp;""""&amp;P19&amp;""""&amp;","&amp;""""&amp;P20&amp;""""&amp;","&amp;""""&amp;P21&amp;""""&amp;","&amp;""""&amp;P22&amp;""""&amp;"}"</f>
        <v>{"29年度","30年度","元年度","2年度","3年度"}</v>
      </c>
      <c r="Q29" s="1" t="str">
        <f>"{"&amp;ROUND(Q18,3)&amp;","&amp;ROUND(Q19,3)&amp;","&amp;ROUND(Q20,3)&amp;","&amp;ROUND(Q21,3)&amp;","&amp;ROUND(Q22,3)&amp;"}"</f>
        <v>{785.016,792.418,795.392,717.494,783.963}</v>
      </c>
      <c r="R29" s="1" t="str">
        <f>"{"&amp;ROUND(R18,3)&amp;","&amp;ROUND(R19,3)&amp;","&amp;ROUND(R20,3)&amp;","&amp;ROUND(R21,3)&amp;","&amp;ROUND(R22,3)&amp;"}"</f>
        <v>{648.073,650.747,644.095,568.76,613.559}</v>
      </c>
      <c r="S29" s="1" t="e">
        <f>"{"&amp;ROUND(#REF!,3)&amp;","&amp;ROUND(#REF!,3)&amp;","&amp;ROUND(#REF!,3)&amp;","&amp;ROUND(#REF!,3)&amp;","&amp;ROUND(#REF!,3)&amp;"}"</f>
        <v>#REF!</v>
      </c>
      <c r="X29" s="652" t="s">
        <v>155</v>
      </c>
      <c r="Y29" s="652" t="s">
        <v>490</v>
      </c>
      <c r="Z29" s="652" t="s">
        <v>489</v>
      </c>
      <c r="AA29" s="652" t="s">
        <v>488</v>
      </c>
      <c r="AB29" s="652" t="s">
        <v>457</v>
      </c>
    </row>
    <row r="30" spans="2:28" ht="20.399999999999999" customHeight="1">
      <c r="K30"/>
      <c r="P30" s="8" t="s">
        <v>484</v>
      </c>
      <c r="X30" s="652" t="s">
        <v>487</v>
      </c>
      <c r="Y30" s="652" t="str">
        <f>FIXED(R15,3)</f>
        <v>10.099</v>
      </c>
      <c r="Z30" s="652" t="str">
        <f>FIXED(R22,3)</f>
        <v>613.559</v>
      </c>
      <c r="AA30" s="652" t="str">
        <f>FIXED(U15,3)</f>
        <v>176.307</v>
      </c>
      <c r="AB30" s="652" t="str">
        <f>FIXED(U22,3)</f>
        <v>799.965</v>
      </c>
    </row>
    <row r="31" spans="2:28" ht="20.399999999999999" customHeight="1">
      <c r="P31" s="8" t="s">
        <v>483</v>
      </c>
      <c r="Q31" s="1" t="str">
        <f>T10</f>
        <v>公営</v>
      </c>
      <c r="R31" s="1" t="str">
        <f>U10</f>
        <v>組合</v>
      </c>
      <c r="S31" s="1" t="e">
        <f>#REF!</f>
        <v>#REF!</v>
      </c>
      <c r="X31" s="652" t="s">
        <v>485</v>
      </c>
      <c r="Y31" s="652">
        <f>ROUND(R15/R14*100,1)-100</f>
        <v>2.9000000000000057</v>
      </c>
      <c r="Z31" s="652">
        <f>ROUND(R22/R21*100,1)-100</f>
        <v>7.9000000000000057</v>
      </c>
      <c r="AA31" s="652">
        <f>ROUND(U15/U14*100,1)-100</f>
        <v>7.5</v>
      </c>
      <c r="AB31" s="652">
        <f>ROUND(U22/U21*100,1)-100</f>
        <v>7.7000000000000028</v>
      </c>
    </row>
    <row r="32" spans="2:28" ht="20.399999999999999" customHeight="1">
      <c r="P32" s="1" t="str">
        <f>"{"&amp;""""&amp;S11&amp;""""&amp;","&amp;""""&amp;S12&amp;""""&amp;","&amp;""""&amp;S13&amp;""""&amp;","&amp;""""&amp;S14&amp;""""&amp;","&amp;""""&amp;S15&amp;""""&amp;"}"</f>
        <v>{"29年度","30年度","元年度","2年度","3年度"}</v>
      </c>
      <c r="Q32" s="1" t="str">
        <f>"{"&amp;ROUND(T11,3)&amp;","&amp;ROUND(T12,3)&amp;","&amp;ROUND(T13,3)&amp;","&amp;ROUND(T14,3)&amp;","&amp;ROUND(T15,3)&amp;"}"</f>
        <v>{199.473,200.689,205.388,181.4,202.552}</v>
      </c>
      <c r="R32" s="1" t="str">
        <f>"{"&amp;ROUND(U11,3)&amp;","&amp;ROUND(U12,3)&amp;","&amp;ROUND(U13,3)&amp;","&amp;ROUND(U14,3)&amp;","&amp;ROUND(U15,3)&amp;"}"</f>
        <v>{168.713,171.33,175.151,164.035,176.307}</v>
      </c>
      <c r="S32" s="1" t="e">
        <f>"{"&amp;ROUND(#REF!,3)&amp;","&amp;ROUND(#REF!,3)&amp;","&amp;ROUND(#REF!,3)&amp;","&amp;ROUND(#REF!,3)&amp;","&amp;ROUND(#REF!,3)&amp;"}"</f>
        <v>#REF!</v>
      </c>
      <c r="X32" s="652"/>
      <c r="Y32" s="674" t="str">
        <f>IF(Y31=0,IF(R15=R14,"増減なし",IF(R15&gt;R14,"微増","微減")),IF(Y31&lt;0,FIXED(ABS(Y31),1)&amp;"％減",FIXED(ABS(Y31),1)&amp;"％増"))</f>
        <v>2.9％増</v>
      </c>
      <c r="Z32" s="674" t="str">
        <f>IF(Z31=0,IF(R22=R21,"増減なし",IF(R22&gt;R21,"微増","微減")),IF(Z31&lt;0,FIXED(ABS(Z31),1)&amp;"％減",FIXED(ABS(Z31),1)&amp;"％増"))</f>
        <v>7.9％増</v>
      </c>
      <c r="AA32" s="674" t="str">
        <f>IF(AA31=0,IF(U15=U14,"増減なし",IF(U15&gt;U14,"微増","微減")),IF(AA31&lt;0,FIXED(ABS(AA31),1)&amp;"％減",FIXED(ABS(AA31),1)&amp;"％増"))</f>
        <v>7.5％増</v>
      </c>
      <c r="AB32" s="674" t="str">
        <f>IF(AB31=0,IF(U15=U14,"増減なし",IF(U15&gt;U14,"微増","微減")),IF(AB31&lt;0,FIXED(ABS(AB31),1)&amp;"％減",FIXED(ABS(AB31),1)&amp;"％増"))</f>
        <v>7.7％増</v>
      </c>
    </row>
    <row r="33" spans="1:19" ht="20.399999999999999" customHeight="1">
      <c r="P33" s="8" t="s">
        <v>30</v>
      </c>
    </row>
    <row r="34" spans="1:19" ht="20.399999999999999" customHeight="1">
      <c r="A34" s="1" t="s">
        <v>558</v>
      </c>
      <c r="P34" s="8" t="s">
        <v>483</v>
      </c>
      <c r="Q34" s="1" t="str">
        <f>T17</f>
        <v>公営</v>
      </c>
      <c r="R34" s="1" t="str">
        <f>U17</f>
        <v>組合</v>
      </c>
      <c r="S34" s="1" t="e">
        <f>#REF!</f>
        <v>#REF!</v>
      </c>
    </row>
    <row r="35" spans="1:19" ht="20.399999999999999" customHeight="1">
      <c r="P35" s="1" t="str">
        <f>"{"&amp;""""&amp;S18&amp;""""&amp;","&amp;""""&amp;S19&amp;""""&amp;","&amp;""""&amp;S20&amp;""""&amp;","&amp;""""&amp;S21&amp;""""&amp;","&amp;""""&amp;S22&amp;""""&amp;"}"</f>
        <v>{"29年度","30年度","元年度","2年度","3年度"}</v>
      </c>
      <c r="Q35" s="1" t="str">
        <f>"{"&amp;ROUND(T18,3)&amp;","&amp;ROUND(T19,3)&amp;","&amp;ROUND(T20,3)&amp;","&amp;ROUND(T21,3)&amp;","&amp;ROUND(T22,3)&amp;"}"</f>
        <v>{1002.759,1011.455,1019.222,916.834,1004.726}</v>
      </c>
      <c r="R35" s="1" t="str">
        <f>"{"&amp;ROUND(U18,3)&amp;","&amp;ROUND(U19,3)&amp;","&amp;ROUND(U20,3)&amp;","&amp;ROUND(U21,3)&amp;","&amp;ROUND(U22,3)&amp;"}"</f>
        <v>{827.775,832.928,829.962,742.611,799.965}</v>
      </c>
      <c r="S35" s="1" t="e">
        <f>"{"&amp;ROUND(#REF!,3)&amp;","&amp;ROUND(#REF!,3)&amp;","&amp;ROUND(#REF!,3)&amp;","&amp;ROUND(#REF!,3)&amp;","&amp;ROUND(#REF!,3)&amp;"}"</f>
        <v>#REF!</v>
      </c>
    </row>
    <row r="36" spans="1:19" ht="20.399999999999999" customHeight="1"/>
    <row r="37" spans="1:19" ht="20.399999999999999" customHeight="1"/>
  </sheetData>
  <mergeCells count="6">
    <mergeCell ref="W9:X9"/>
    <mergeCell ref="Y9:Z9"/>
    <mergeCell ref="AA9:AB9"/>
    <mergeCell ref="Y16:Z16"/>
    <mergeCell ref="AA16:AB16"/>
    <mergeCell ref="W16:X16"/>
  </mergeCells>
  <phoneticPr fontId="27"/>
  <printOptions gridLinesSet="0"/>
  <pageMargins left="0.78740157480314965" right="0.98425196850393704" top="0.55118110236220474" bottom="0.59055118110236227" header="0" footer="0.39370078740157483"/>
  <pageSetup paperSize="9" firstPageNumber="32" orientation="portrait" useFirstPageNumber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D35"/>
  <sheetViews>
    <sheetView view="pageBreakPreview" zoomScaleNormal="100" zoomScaleSheetLayoutView="100" workbookViewId="0"/>
  </sheetViews>
  <sheetFormatPr defaultColWidth="9" defaultRowHeight="12"/>
  <cols>
    <col min="1" max="1" width="3.21875" style="1" customWidth="1" collapsed="1"/>
    <col min="2" max="2" width="4.109375" style="1" customWidth="1" collapsed="1"/>
    <col min="3" max="3" width="1.88671875" style="2" customWidth="1" collapsed="1"/>
    <col min="4" max="4" width="9" style="2" collapsed="1"/>
    <col min="5" max="10" width="9" style="1" collapsed="1"/>
    <col min="11" max="11" width="6.33203125" style="1" customWidth="1" collapsed="1"/>
    <col min="12" max="12" width="3.77734375" style="1" customWidth="1" collapsed="1"/>
    <col min="13" max="13" width="0.88671875" style="1" customWidth="1" collapsed="1"/>
    <col min="14" max="14" width="9" style="1" collapsed="1"/>
    <col min="15" max="22" width="0" style="1" hidden="1" customWidth="1" collapsed="1"/>
    <col min="23" max="30" width="10.6640625" style="1" hidden="1" customWidth="1" collapsed="1"/>
    <col min="31" max="16384" width="9" style="1" collapsed="1"/>
  </cols>
  <sheetData>
    <row r="1" spans="2:30" s="22" customFormat="1" ht="24" customHeight="1">
      <c r="B1" s="47"/>
      <c r="C1" s="47"/>
      <c r="D1" s="772" t="s">
        <v>595</v>
      </c>
      <c r="E1" s="751"/>
      <c r="F1" s="751"/>
      <c r="G1" s="751"/>
      <c r="H1" s="751"/>
      <c r="I1" s="751"/>
      <c r="J1" s="751"/>
      <c r="K1" s="751"/>
      <c r="L1" s="47"/>
    </row>
    <row r="2" spans="2:30" ht="20.399999999999999" customHeight="1">
      <c r="C2" s="657"/>
      <c r="D2" s="657"/>
      <c r="E2" s="657"/>
      <c r="F2" s="657"/>
      <c r="G2" s="657"/>
      <c r="H2" s="657"/>
      <c r="I2" s="657"/>
      <c r="J2" s="657"/>
      <c r="K2" s="656"/>
    </row>
    <row r="3" spans="2:30" ht="20.399999999999999" customHeight="1">
      <c r="E3" s="96"/>
      <c r="F3" s="96"/>
      <c r="G3" s="96"/>
      <c r="H3" s="96"/>
      <c r="I3" s="96"/>
      <c r="J3" s="96"/>
    </row>
    <row r="4" spans="2:30" ht="20.399999999999999" customHeight="1">
      <c r="B4" s="58"/>
      <c r="E4" s="96"/>
      <c r="F4" s="96"/>
      <c r="G4" s="96"/>
      <c r="H4" s="96"/>
      <c r="I4" s="96"/>
      <c r="J4" s="96"/>
    </row>
    <row r="5" spans="2:30" ht="20.399999999999999" customHeight="1">
      <c r="D5"/>
      <c r="K5"/>
      <c r="P5" s="11" t="s">
        <v>531</v>
      </c>
      <c r="Q5" s="11"/>
      <c r="R5" s="11"/>
      <c r="S5" s="11"/>
      <c r="T5" s="11"/>
      <c r="U5" s="11"/>
      <c r="V5" s="11"/>
    </row>
    <row r="6" spans="2:30" ht="20.399999999999999" customHeight="1">
      <c r="P6" s="686"/>
      <c r="Q6" s="691" t="s">
        <v>486</v>
      </c>
      <c r="R6" s="690"/>
      <c r="S6" s="686"/>
      <c r="T6" s="691" t="s">
        <v>484</v>
      </c>
      <c r="U6" s="690"/>
      <c r="W6" s="2014" t="s">
        <v>820</v>
      </c>
      <c r="X6" s="2014"/>
      <c r="Y6" s="2014" t="s">
        <v>823</v>
      </c>
      <c r="Z6" s="2014"/>
      <c r="AA6" s="2014" t="s">
        <v>821</v>
      </c>
      <c r="AB6" s="2014"/>
      <c r="AC6" s="2014" t="s">
        <v>824</v>
      </c>
      <c r="AD6" s="2014"/>
    </row>
    <row r="7" spans="2:30" ht="20.399999999999999" customHeight="1">
      <c r="P7" s="689" t="s">
        <v>491</v>
      </c>
      <c r="Q7" s="687" t="s">
        <v>562</v>
      </c>
      <c r="R7" s="686" t="s">
        <v>481</v>
      </c>
      <c r="S7" s="689" t="s">
        <v>491</v>
      </c>
      <c r="T7" s="687" t="s">
        <v>562</v>
      </c>
      <c r="U7" s="686" t="s">
        <v>481</v>
      </c>
      <c r="W7" s="1606" t="s">
        <v>137</v>
      </c>
      <c r="X7" s="1606" t="s">
        <v>155</v>
      </c>
      <c r="Y7" s="1606" t="s">
        <v>137</v>
      </c>
      <c r="Z7" s="1606" t="s">
        <v>155</v>
      </c>
      <c r="AA7" s="1606" t="s">
        <v>137</v>
      </c>
      <c r="AB7" s="1606" t="s">
        <v>155</v>
      </c>
      <c r="AC7" s="1606" t="s">
        <v>137</v>
      </c>
      <c r="AD7" s="1606" t="s">
        <v>155</v>
      </c>
    </row>
    <row r="8" spans="2:30" ht="20.399999999999999" customHeight="1">
      <c r="E8" s="96"/>
      <c r="F8" s="96"/>
      <c r="G8" s="96"/>
      <c r="H8" s="96"/>
      <c r="I8" s="96"/>
      <c r="J8" s="96"/>
      <c r="K8" s="96"/>
      <c r="P8" s="1328" t="str">
        <f>情報!$F$6</f>
        <v>29年度</v>
      </c>
      <c r="Q8" s="1327">
        <f>IF(W8=0,"－",ROUND(Y8/W8,2))</f>
        <v>14.52</v>
      </c>
      <c r="R8" s="1327">
        <f>IF(X8=0,"－",ROUND(Z8/X8,2))</f>
        <v>9.98</v>
      </c>
      <c r="S8" s="1328" t="str">
        <f>P8</f>
        <v>29年度</v>
      </c>
      <c r="T8" s="1327">
        <f>IF(AA8=0,"－",ROUND(AC8/AA8,2))</f>
        <v>1.85</v>
      </c>
      <c r="U8" s="1327">
        <f>IF(AB8=0,"－",ROUND(AD8/AB8,2))</f>
        <v>1.78</v>
      </c>
      <c r="W8" s="1607">
        <v>580389</v>
      </c>
      <c r="X8" s="1607">
        <v>139222</v>
      </c>
      <c r="Y8" s="1607">
        <v>8428357</v>
      </c>
      <c r="Z8" s="1607">
        <v>1390121</v>
      </c>
      <c r="AA8" s="1607">
        <v>6336520</v>
      </c>
      <c r="AB8" s="1607">
        <v>2137607</v>
      </c>
      <c r="AC8" s="1607">
        <v>11721197</v>
      </c>
      <c r="AD8" s="1607">
        <v>3805605</v>
      </c>
    </row>
    <row r="9" spans="2:30" ht="20.399999999999999" customHeight="1">
      <c r="E9" s="96"/>
      <c r="F9" s="2"/>
      <c r="G9" s="96"/>
      <c r="H9" s="96"/>
      <c r="I9" s="96"/>
      <c r="J9" s="96"/>
      <c r="K9" s="96"/>
      <c r="P9" s="1328" t="str">
        <f>情報!$F$5</f>
        <v>30年度</v>
      </c>
      <c r="Q9" s="1327">
        <f t="shared" ref="Q9:Q12" si="0">IF(W9=0,"－",ROUND(Y9/W9,2))</f>
        <v>14.53</v>
      </c>
      <c r="R9" s="1327">
        <f t="shared" ref="R9:R12" si="1">IF(X9=0,"－",ROUND(Z9/X9,2))</f>
        <v>9.84</v>
      </c>
      <c r="S9" s="1328" t="str">
        <f>P9</f>
        <v>30年度</v>
      </c>
      <c r="T9" s="1327">
        <f t="shared" ref="T9:T12" si="2">IF(AA9=0,"－",ROUND(AC9/AA9,2))</f>
        <v>1.81</v>
      </c>
      <c r="U9" s="1327">
        <f t="shared" ref="U9:U12" si="3">IF(AB9=0,"－",ROUND(AD9/AB9,2))</f>
        <v>1.74</v>
      </c>
      <c r="W9" s="1607">
        <v>561714</v>
      </c>
      <c r="X9" s="1607">
        <v>136150</v>
      </c>
      <c r="Y9" s="1607">
        <v>8161824</v>
      </c>
      <c r="Z9" s="1607">
        <v>1340368</v>
      </c>
      <c r="AA9" s="1607">
        <v>6143915</v>
      </c>
      <c r="AB9" s="1607">
        <v>2149829</v>
      </c>
      <c r="AC9" s="1607">
        <v>11115150</v>
      </c>
      <c r="AD9" s="1607">
        <v>3735242</v>
      </c>
    </row>
    <row r="10" spans="2:30" ht="20.399999999999999" customHeight="1">
      <c r="C10" s="1"/>
      <c r="K10" s="58"/>
      <c r="P10" s="1328" t="str">
        <f>情報!$F$4</f>
        <v>元年度</v>
      </c>
      <c r="Q10" s="1327">
        <f t="shared" si="0"/>
        <v>14.66</v>
      </c>
      <c r="R10" s="1327">
        <f t="shared" si="1"/>
        <v>9.74</v>
      </c>
      <c r="S10" s="1328" t="str">
        <f>P10</f>
        <v>元年度</v>
      </c>
      <c r="T10" s="1327">
        <f t="shared" si="2"/>
        <v>1.76</v>
      </c>
      <c r="U10" s="1327">
        <f t="shared" si="3"/>
        <v>1.7</v>
      </c>
      <c r="W10" s="1607">
        <v>543579</v>
      </c>
      <c r="X10" s="1607">
        <v>133904</v>
      </c>
      <c r="Y10" s="1607">
        <v>7967243</v>
      </c>
      <c r="Z10" s="1607">
        <v>1304584</v>
      </c>
      <c r="AA10" s="1607">
        <v>6053843</v>
      </c>
      <c r="AB10" s="1607">
        <v>2188626</v>
      </c>
      <c r="AC10" s="1607">
        <v>10681372</v>
      </c>
      <c r="AD10" s="1607">
        <v>3710903</v>
      </c>
    </row>
    <row r="11" spans="2:30" ht="20.399999999999999" customHeight="1">
      <c r="D11" s="96"/>
      <c r="E11" s="96"/>
      <c r="F11" s="96"/>
      <c r="G11" s="96"/>
      <c r="H11" s="96"/>
      <c r="I11" s="96"/>
      <c r="J11" s="96"/>
      <c r="K11" s="96"/>
      <c r="P11" s="1328" t="str">
        <f>情報!$F$3</f>
        <v>2年度</v>
      </c>
      <c r="Q11" s="1327">
        <f t="shared" si="0"/>
        <v>14.56</v>
      </c>
      <c r="R11" s="1327">
        <f t="shared" si="1"/>
        <v>9.5500000000000007</v>
      </c>
      <c r="S11" s="1328" t="str">
        <f>P11</f>
        <v>2年度</v>
      </c>
      <c r="T11" s="1327">
        <f t="shared" si="2"/>
        <v>1.78</v>
      </c>
      <c r="U11" s="1327">
        <f t="shared" si="3"/>
        <v>1.7</v>
      </c>
      <c r="W11" s="1607">
        <v>512951</v>
      </c>
      <c r="X11" s="1607">
        <v>122174</v>
      </c>
      <c r="Y11" s="1607">
        <v>7467089</v>
      </c>
      <c r="Z11" s="1607">
        <v>1167129</v>
      </c>
      <c r="AA11" s="1607">
        <v>5186430</v>
      </c>
      <c r="AB11" s="1607">
        <v>2041543</v>
      </c>
      <c r="AC11" s="1607">
        <v>9221727</v>
      </c>
      <c r="AD11" s="1607">
        <v>3471110</v>
      </c>
    </row>
    <row r="12" spans="2:30" ht="20.399999999999999" customHeight="1">
      <c r="C12" s="685"/>
      <c r="P12" s="1328" t="str">
        <f>情報!$F$2</f>
        <v>3年度</v>
      </c>
      <c r="Q12" s="1327">
        <f t="shared" si="0"/>
        <v>14.73</v>
      </c>
      <c r="R12" s="1327">
        <f t="shared" si="1"/>
        <v>9.4</v>
      </c>
      <c r="S12" s="1328" t="str">
        <f>P12</f>
        <v>3年度</v>
      </c>
      <c r="T12" s="1327">
        <f t="shared" si="2"/>
        <v>1.72</v>
      </c>
      <c r="U12" s="1327">
        <f t="shared" si="3"/>
        <v>1.63</v>
      </c>
      <c r="W12" s="1607">
        <v>506013</v>
      </c>
      <c r="X12" s="1607">
        <v>125154</v>
      </c>
      <c r="Y12" s="1607">
        <v>7453652</v>
      </c>
      <c r="Z12" s="1607">
        <v>1176153</v>
      </c>
      <c r="AA12" s="1607">
        <v>5628061</v>
      </c>
      <c r="AB12" s="1607">
        <v>2184980</v>
      </c>
      <c r="AC12" s="1607">
        <v>9652430</v>
      </c>
      <c r="AD12" s="1607">
        <v>3551076</v>
      </c>
    </row>
    <row r="13" spans="2:30" ht="20.399999999999999" customHeight="1">
      <c r="P13" s="1333"/>
      <c r="Q13" s="1334" t="s">
        <v>172</v>
      </c>
      <c r="R13" s="1335"/>
      <c r="S13" s="1333"/>
      <c r="T13" s="1334" t="s">
        <v>30</v>
      </c>
      <c r="U13" s="1335"/>
      <c r="W13" s="2014" t="s">
        <v>822</v>
      </c>
      <c r="X13" s="2014"/>
      <c r="Y13" s="2014" t="s">
        <v>825</v>
      </c>
      <c r="Z13" s="2014"/>
      <c r="AA13" s="2014" t="s">
        <v>756</v>
      </c>
      <c r="AB13" s="2014"/>
      <c r="AC13" s="2014" t="s">
        <v>826</v>
      </c>
      <c r="AD13" s="2014"/>
    </row>
    <row r="14" spans="2:30" ht="20.399999999999999" customHeight="1">
      <c r="P14" s="1333" t="s">
        <v>491</v>
      </c>
      <c r="Q14" s="1332" t="s">
        <v>562</v>
      </c>
      <c r="R14" s="1332" t="s">
        <v>481</v>
      </c>
      <c r="S14" s="1333" t="s">
        <v>491</v>
      </c>
      <c r="T14" s="1332" t="s">
        <v>562</v>
      </c>
      <c r="U14" s="1332" t="s">
        <v>481</v>
      </c>
      <c r="W14" s="1606" t="s">
        <v>137</v>
      </c>
      <c r="X14" s="1606" t="s">
        <v>155</v>
      </c>
      <c r="Y14" s="1606" t="s">
        <v>137</v>
      </c>
      <c r="Z14" s="1606" t="s">
        <v>155</v>
      </c>
      <c r="AA14" s="1606" t="s">
        <v>137</v>
      </c>
      <c r="AB14" s="1606" t="s">
        <v>155</v>
      </c>
      <c r="AC14" s="1606" t="s">
        <v>137</v>
      </c>
      <c r="AD14" s="1606" t="s">
        <v>155</v>
      </c>
    </row>
    <row r="15" spans="2:30" ht="20.399999999999999" customHeight="1">
      <c r="P15" s="1328" t="str">
        <f>P8</f>
        <v>29年度</v>
      </c>
      <c r="Q15" s="1327">
        <f>IF(W15=0,"－",ROUND(Y15/W15,2))</f>
        <v>1.57</v>
      </c>
      <c r="R15" s="1327">
        <f>IF(X15=0,"－",ROUND(Z15/X15,2))</f>
        <v>1.44</v>
      </c>
      <c r="S15" s="1328" t="str">
        <f>P8</f>
        <v>29年度</v>
      </c>
      <c r="T15" s="1327">
        <f>IF(AA15=0,"－",ROUND(AC15/AA15,2))</f>
        <v>1.86</v>
      </c>
      <c r="U15" s="1327">
        <f>IF(AB15=0,"－",ROUND(AD15/AB15,2))</f>
        <v>1.62</v>
      </c>
      <c r="W15" s="1607">
        <v>24937086</v>
      </c>
      <c r="X15" s="1607">
        <v>8211129</v>
      </c>
      <c r="Y15" s="1607">
        <v>39140502</v>
      </c>
      <c r="Z15" s="1607">
        <v>11813050</v>
      </c>
      <c r="AA15" s="1607">
        <v>31853995</v>
      </c>
      <c r="AB15" s="1607">
        <v>10487958</v>
      </c>
      <c r="AC15" s="1607">
        <v>59290056</v>
      </c>
      <c r="AD15" s="1607">
        <v>17008776</v>
      </c>
    </row>
    <row r="16" spans="2:30" ht="20.399999999999999" customHeight="1">
      <c r="B16" s="3"/>
      <c r="P16" s="1328" t="str">
        <f>P9</f>
        <v>30年度</v>
      </c>
      <c r="Q16" s="1327">
        <f t="shared" ref="Q16:R19" si="4">IF(W16=0,"－",ROUND(Y16/W16,2))</f>
        <v>1.55</v>
      </c>
      <c r="R16" s="1327">
        <f t="shared" si="4"/>
        <v>1.42</v>
      </c>
      <c r="S16" s="1328" t="str">
        <f>P9</f>
        <v>30年度</v>
      </c>
      <c r="T16" s="1327">
        <f t="shared" ref="T16:U19" si="5">IF(AA16=0,"－",ROUND(AC16/AA16,2))</f>
        <v>1.84</v>
      </c>
      <c r="U16" s="1327">
        <f t="shared" si="5"/>
        <v>1.6</v>
      </c>
      <c r="W16" s="1607">
        <v>24259116</v>
      </c>
      <c r="X16" s="1607">
        <v>8165493</v>
      </c>
      <c r="Y16" s="1607">
        <v>37634230</v>
      </c>
      <c r="Z16" s="1607">
        <v>11615086</v>
      </c>
      <c r="AA16" s="1607">
        <v>30964745</v>
      </c>
      <c r="AB16" s="1607">
        <v>10451472</v>
      </c>
      <c r="AC16" s="1607">
        <v>56911204</v>
      </c>
      <c r="AD16" s="1607">
        <v>16690696</v>
      </c>
    </row>
    <row r="17" spans="1:30" ht="20.399999999999999" customHeight="1">
      <c r="B17" s="3"/>
      <c r="P17" s="1328" t="str">
        <f>P10</f>
        <v>元年度</v>
      </c>
      <c r="Q17" s="1327">
        <f t="shared" si="4"/>
        <v>1.54</v>
      </c>
      <c r="R17" s="1327">
        <f t="shared" si="4"/>
        <v>1.41</v>
      </c>
      <c r="S17" s="1328" t="str">
        <f>P10</f>
        <v>元年度</v>
      </c>
      <c r="T17" s="1327">
        <f t="shared" si="5"/>
        <v>1.82</v>
      </c>
      <c r="U17" s="1327">
        <f t="shared" si="5"/>
        <v>1.58</v>
      </c>
      <c r="W17" s="1607">
        <v>23444267</v>
      </c>
      <c r="X17" s="1607">
        <v>8048376</v>
      </c>
      <c r="Y17" s="1607">
        <v>35995597</v>
      </c>
      <c r="Z17" s="1607">
        <v>11341003</v>
      </c>
      <c r="AA17" s="1607">
        <v>30041689</v>
      </c>
      <c r="AB17" s="1607">
        <v>10370906</v>
      </c>
      <c r="AC17" s="1607">
        <v>54644212</v>
      </c>
      <c r="AD17" s="1607">
        <v>16356490</v>
      </c>
    </row>
    <row r="18" spans="1:30" ht="20.399999999999999" customHeight="1">
      <c r="P18" s="1328" t="str">
        <f>P11</f>
        <v>2年度</v>
      </c>
      <c r="Q18" s="1327">
        <f t="shared" si="4"/>
        <v>1.51</v>
      </c>
      <c r="R18" s="1327">
        <f t="shared" si="4"/>
        <v>1.39</v>
      </c>
      <c r="S18" s="1328" t="str">
        <f>P11</f>
        <v>2年度</v>
      </c>
      <c r="T18" s="1327">
        <f t="shared" si="5"/>
        <v>1.82</v>
      </c>
      <c r="U18" s="1327">
        <f t="shared" si="5"/>
        <v>1.57</v>
      </c>
      <c r="W18" s="1607">
        <v>20513962</v>
      </c>
      <c r="X18" s="1607">
        <v>7078640</v>
      </c>
      <c r="Y18" s="1607">
        <v>31060793</v>
      </c>
      <c r="Z18" s="1607">
        <v>9862195</v>
      </c>
      <c r="AA18" s="1607">
        <v>26213343</v>
      </c>
      <c r="AB18" s="1607">
        <v>9242357</v>
      </c>
      <c r="AC18" s="1607">
        <v>47749609</v>
      </c>
      <c r="AD18" s="1607">
        <v>14500434</v>
      </c>
    </row>
    <row r="19" spans="1:30" ht="20.399999999999999" customHeight="1">
      <c r="P19" s="1328" t="str">
        <f>P12</f>
        <v>3年度</v>
      </c>
      <c r="Q19" s="1327">
        <f t="shared" si="4"/>
        <v>1.52</v>
      </c>
      <c r="R19" s="1327">
        <f t="shared" si="4"/>
        <v>1.39</v>
      </c>
      <c r="S19" s="1328" t="str">
        <f>P12</f>
        <v>3年度</v>
      </c>
      <c r="T19" s="1327">
        <f t="shared" si="5"/>
        <v>1.8</v>
      </c>
      <c r="U19" s="1327">
        <f t="shared" si="5"/>
        <v>1.54</v>
      </c>
      <c r="W19" s="1607">
        <v>21783034</v>
      </c>
      <c r="X19" s="1607">
        <v>7603870</v>
      </c>
      <c r="Y19" s="1607">
        <v>33135837</v>
      </c>
      <c r="Z19" s="1607">
        <v>10575868</v>
      </c>
      <c r="AA19" s="1607">
        <v>27917108</v>
      </c>
      <c r="AB19" s="1607">
        <v>9914004</v>
      </c>
      <c r="AC19" s="1607">
        <v>50241919</v>
      </c>
      <c r="AD19" s="1607">
        <v>15303097</v>
      </c>
    </row>
    <row r="20" spans="1:30" ht="20.399999999999999" customHeight="1"/>
    <row r="21" spans="1:30" ht="20.399999999999999" customHeight="1">
      <c r="O21" s="1" t="s">
        <v>235</v>
      </c>
      <c r="P21" s="8" t="s">
        <v>486</v>
      </c>
      <c r="X21" s="1" t="s">
        <v>294</v>
      </c>
    </row>
    <row r="22" spans="1:30" ht="20.399999999999999" customHeight="1">
      <c r="K22" s="58"/>
      <c r="P22" s="8" t="s">
        <v>483</v>
      </c>
      <c r="Q22" s="1" t="str">
        <f>Q7</f>
        <v>公営</v>
      </c>
      <c r="R22" s="1" t="str">
        <f>R7</f>
        <v>組合</v>
      </c>
      <c r="S22" s="1" t="e">
        <f>#REF!</f>
        <v>#REF!</v>
      </c>
      <c r="X22" s="652" t="s">
        <v>137</v>
      </c>
      <c r="Y22" s="652" t="s">
        <v>490</v>
      </c>
      <c r="Z22" s="652" t="s">
        <v>489</v>
      </c>
      <c r="AA22" s="652" t="s">
        <v>488</v>
      </c>
      <c r="AB22" s="652" t="s">
        <v>457</v>
      </c>
    </row>
    <row r="23" spans="1:30" ht="20.399999999999999" customHeight="1">
      <c r="C23" s="685"/>
      <c r="P23" s="1" t="str">
        <f>"{"&amp;""""&amp;P8&amp;""""&amp;","&amp;""""&amp;P9&amp;""""&amp;","&amp;""""&amp;P10&amp;""""&amp;","&amp;""""&amp;P11&amp;""""&amp;","&amp;""""&amp;P12&amp;""""&amp;"}"</f>
        <v>{"29年度","30年度","元年度","2年度","3年度"}</v>
      </c>
      <c r="Q23" s="1" t="str">
        <f>"{"&amp;ROUND(Q8,3)&amp;","&amp;ROUND(Q9,3)&amp;","&amp;ROUND(Q10,3)&amp;","&amp;ROUND(Q11,3)&amp;","&amp;ROUND(Q12,3)&amp;"}"</f>
        <v>{14.52,14.53,14.66,14.56,14.73}</v>
      </c>
      <c r="R23" s="1" t="str">
        <f>"{"&amp;ROUND(R8,3)&amp;","&amp;ROUND(R9,3)&amp;","&amp;ROUND(R10,3)&amp;","&amp;ROUND(R11,3)&amp;","&amp;ROUND(R12,3)&amp;"}"</f>
        <v>{9.98,9.84,9.74,9.55,9.4}</v>
      </c>
      <c r="S23" s="1" t="e">
        <f>"{"&amp;ROUND(#REF!,3)&amp;","&amp;ROUND(#REF!,3)&amp;","&amp;ROUND(#REF!,3)&amp;","&amp;ROUND(#REF!,3)&amp;","&amp;ROUND(#REF!,3)&amp;"}"</f>
        <v>#REF!</v>
      </c>
      <c r="X23" s="652" t="s">
        <v>492</v>
      </c>
      <c r="Y23" s="652" t="str">
        <f>FIXED(Q12,2)</f>
        <v>14.73</v>
      </c>
      <c r="Z23" s="652" t="str">
        <f>FIXED(Q19,2)</f>
        <v>1.52</v>
      </c>
      <c r="AA23" s="652" t="str">
        <f>FIXED(T12,2)</f>
        <v>1.72</v>
      </c>
      <c r="AB23" s="652" t="str">
        <f>FIXED(T19,2)</f>
        <v>1.80</v>
      </c>
    </row>
    <row r="24" spans="1:30" ht="20.399999999999999" customHeight="1">
      <c r="P24" s="8" t="s">
        <v>172</v>
      </c>
      <c r="X24" s="652" t="s">
        <v>485</v>
      </c>
      <c r="Y24" s="652">
        <f>ROUND(Q12/Q11*100,1)-100</f>
        <v>1.2000000000000028</v>
      </c>
      <c r="Z24" s="652">
        <f>ROUND(Q19/Q18*100,1)-100</f>
        <v>0.70000000000000284</v>
      </c>
      <c r="AA24" s="652">
        <f>ROUND(T12/T11*100,1)-100</f>
        <v>-3.4000000000000057</v>
      </c>
      <c r="AB24" s="652">
        <f>ROUND(T19/T18*100,1)-100</f>
        <v>-1.0999999999999943</v>
      </c>
    </row>
    <row r="25" spans="1:30" ht="20.399999999999999" customHeight="1">
      <c r="P25" s="8" t="s">
        <v>483</v>
      </c>
      <c r="Q25" s="1" t="str">
        <f>Q14</f>
        <v>公営</v>
      </c>
      <c r="R25" s="1" t="str">
        <f>R14</f>
        <v>組合</v>
      </c>
      <c r="S25" s="1" t="e">
        <f>#REF!</f>
        <v>#REF!</v>
      </c>
      <c r="X25" s="652"/>
      <c r="Y25" s="674" t="str">
        <f>IF(Y24=0,IF(Q12=Q11,"増減なし",IF(Q12&gt;Q11,"微増","微減")),IF(Y24&lt;0,FIXED(ABS(Y24),1)&amp;"％減",FIXED(ABS(Y24),1)&amp;"％増"))</f>
        <v>1.2％増</v>
      </c>
      <c r="Z25" s="674" t="str">
        <f>IF(Z24=0,IF(Q19=Q18,"増減なし",IF(Q19&gt;Q18,"微増","微減")),IF(Z24&lt;0,FIXED(ABS(Z24),1)&amp;"％減",FIXED(ABS(Z24),1)&amp;"％増"))</f>
        <v>0.7％増</v>
      </c>
      <c r="AA25" s="674" t="str">
        <f>IF(AA24=0,IF(T12=T11,"増減なし",IF(T12&gt;T11,"微増","微減")),IF(AA24&lt;0,FIXED(ABS(AA24),1)&amp;"％減",FIXED(ABS(AA24),1)&amp;"％増"))</f>
        <v>3.4％減</v>
      </c>
      <c r="AB25" s="674" t="str">
        <f>IF(AB24=0,IF(T19=T18,"増減なし",IF(T19&gt;T18,"微増","微減")),IF(AB24&lt;0,FIXED(ABS(AB24),1)&amp;"％減",FIXED(ABS(AB24),1)&amp;"％増"))</f>
        <v>1.1％減</v>
      </c>
    </row>
    <row r="26" spans="1:30" ht="20.399999999999999" customHeight="1">
      <c r="P26" s="1" t="str">
        <f>"{"&amp;""""&amp;P15&amp;""""&amp;","&amp;""""&amp;P16&amp;""""&amp;","&amp;""""&amp;P17&amp;""""&amp;","&amp;""""&amp;P18&amp;""""&amp;","&amp;""""&amp;P19&amp;""""&amp;"}"</f>
        <v>{"29年度","30年度","元年度","2年度","3年度"}</v>
      </c>
      <c r="Q26" s="1" t="str">
        <f>"{"&amp;ROUND(Q15,3)&amp;","&amp;ROUND(Q16,3)&amp;","&amp;ROUND(Q17,3)&amp;","&amp;ROUND(Q18,3)&amp;","&amp;ROUND(Q19,3)&amp;"}"</f>
        <v>{1.57,1.55,1.54,1.51,1.52}</v>
      </c>
      <c r="R26" s="1" t="str">
        <f>"{"&amp;ROUND(R15,3)&amp;","&amp;ROUND(R16,3)&amp;","&amp;ROUND(R17,3)&amp;","&amp;ROUND(R18,3)&amp;","&amp;ROUND(R19,3)&amp;"}"</f>
        <v>{1.44,1.42,1.41,1.39,1.39}</v>
      </c>
      <c r="S26" s="1" t="e">
        <f>"{"&amp;ROUND(#REF!,3)&amp;","&amp;ROUND(#REF!,3)&amp;","&amp;ROUND(#REF!,3)&amp;","&amp;ROUND(#REF!,3)&amp;","&amp;ROUND(#REF!,3)&amp;"}"</f>
        <v>#REF!</v>
      </c>
      <c r="X26" s="652" t="s">
        <v>155</v>
      </c>
      <c r="Y26" s="652" t="s">
        <v>490</v>
      </c>
      <c r="Z26" s="652" t="s">
        <v>489</v>
      </c>
      <c r="AA26" s="652" t="s">
        <v>488</v>
      </c>
      <c r="AB26" s="652" t="s">
        <v>457</v>
      </c>
    </row>
    <row r="27" spans="1:30" ht="20.399999999999999" customHeight="1">
      <c r="B27" s="3"/>
      <c r="K27" s="58"/>
      <c r="P27" s="8" t="s">
        <v>484</v>
      </c>
      <c r="X27" s="652" t="s">
        <v>492</v>
      </c>
      <c r="Y27" s="652" t="str">
        <f>FIXED(R12,2)</f>
        <v>9.40</v>
      </c>
      <c r="Z27" s="652" t="str">
        <f>FIXED(R19,2)</f>
        <v>1.39</v>
      </c>
      <c r="AA27" s="652" t="str">
        <f>FIXED(U12,2)</f>
        <v>1.63</v>
      </c>
      <c r="AB27" s="652" t="str">
        <f>FIXED(U19,2)</f>
        <v>1.54</v>
      </c>
    </row>
    <row r="28" spans="1:30" ht="20.399999999999999" customHeight="1">
      <c r="K28"/>
      <c r="P28" s="8" t="s">
        <v>483</v>
      </c>
      <c r="Q28" s="1" t="str">
        <f>T7</f>
        <v>公営</v>
      </c>
      <c r="R28" s="1" t="str">
        <f>U7</f>
        <v>組合</v>
      </c>
      <c r="S28" s="1" t="e">
        <f>#REF!</f>
        <v>#REF!</v>
      </c>
      <c r="X28" s="652" t="s">
        <v>485</v>
      </c>
      <c r="Y28" s="652">
        <f>ROUND(R12/R11*100,1)-100</f>
        <v>-1.5999999999999943</v>
      </c>
      <c r="Z28" s="652">
        <f>ROUND(R19/R18*100,1)-100</f>
        <v>0</v>
      </c>
      <c r="AA28" s="652">
        <f>ROUND(U12/U11*100,1)-100</f>
        <v>-4.0999999999999943</v>
      </c>
      <c r="AB28" s="652">
        <f>ROUND(U19/U18*100,1)-100</f>
        <v>-1.9000000000000057</v>
      </c>
    </row>
    <row r="29" spans="1:30" ht="20.399999999999999" customHeight="1">
      <c r="P29" s="1" t="str">
        <f>"{"&amp;""""&amp;S8&amp;""""&amp;","&amp;""""&amp;S9&amp;""""&amp;","&amp;""""&amp;S10&amp;""""&amp;","&amp;""""&amp;S11&amp;""""&amp;","&amp;""""&amp;S12&amp;""""&amp;"}"</f>
        <v>{"29年度","30年度","元年度","2年度","3年度"}</v>
      </c>
      <c r="Q29" s="1" t="str">
        <f>"{"&amp;ROUND(T8,3)&amp;","&amp;ROUND(T9,3)&amp;","&amp;ROUND(T10,3)&amp;","&amp;ROUND(T11,3)&amp;","&amp;ROUND(T12,3)&amp;"}"</f>
        <v>{1.85,1.81,1.76,1.78,1.72}</v>
      </c>
      <c r="R29" s="1" t="str">
        <f>"{"&amp;ROUND(U8,3)&amp;","&amp;ROUND(U9,3)&amp;","&amp;ROUND(U10,3)&amp;","&amp;ROUND(U11,3)&amp;","&amp;ROUND(U12,3)&amp;"}"</f>
        <v>{1.78,1.74,1.7,1.7,1.63}</v>
      </c>
      <c r="S29" s="1" t="e">
        <f>"{"&amp;ROUND(#REF!,3)&amp;","&amp;ROUND(#REF!,3)&amp;","&amp;ROUND(#REF!,3)&amp;","&amp;ROUND(#REF!,3)&amp;","&amp;ROUND(#REF!,3)&amp;"}"</f>
        <v>#REF!</v>
      </c>
      <c r="X29" s="652"/>
      <c r="Y29" s="674" t="str">
        <f>IF(Y28=0,IF(R12=R11,"増減なし",IF(R12&gt;R11,"微増","微減")),IF(Y28&lt;0,FIXED(ABS(Y28),1)&amp;"％減",FIXED(ABS(Y28),1)&amp;"％増"))</f>
        <v>1.6％減</v>
      </c>
      <c r="Z29" s="674" t="str">
        <f>IF(Z28=0,IF(R19=R18,"増減なし",IF(R19&gt;R18,"微増","微減")),IF(Z28&lt;0,FIXED(ABS(Z28),1)&amp;"％減",FIXED(ABS(Z28),1)&amp;"％増"))</f>
        <v>増減なし</v>
      </c>
      <c r="AA29" s="674" t="str">
        <f>IF(AA28=0,IF(U12=U11,"増減なし",IF(U12&gt;U11,"微増","微減")),IF(AA28&lt;0,FIXED(ABS(AA28),1)&amp;"％減",FIXED(ABS(AA28),1)&amp;"％増"))</f>
        <v>4.1％減</v>
      </c>
      <c r="AB29" s="674" t="str">
        <f>IF(AB28=0,IF(U19=U18,"増減なし",IF(U19&gt;U18,"微増","微減")),IF(AB28&lt;0,FIXED(ABS(AB28),1)&amp;"％減",FIXED(ABS(AB28),1)&amp;"％増"))</f>
        <v>1.9％減</v>
      </c>
    </row>
    <row r="30" spans="1:30" ht="20.399999999999999" customHeight="1">
      <c r="A30" s="1" t="s">
        <v>558</v>
      </c>
      <c r="P30" s="8" t="s">
        <v>30</v>
      </c>
    </row>
    <row r="31" spans="1:30" ht="20.399999999999999" customHeight="1">
      <c r="P31" s="8" t="s">
        <v>483</v>
      </c>
      <c r="Q31" s="1" t="str">
        <f>T14</f>
        <v>公営</v>
      </c>
      <c r="R31" s="1" t="str">
        <f>U14</f>
        <v>組合</v>
      </c>
      <c r="S31" s="1" t="e">
        <f>#REF!</f>
        <v>#REF!</v>
      </c>
    </row>
    <row r="32" spans="1:30" ht="20.399999999999999" customHeight="1">
      <c r="P32" s="1" t="str">
        <f>"{"&amp;""""&amp;S15&amp;""""&amp;","&amp;""""&amp;S16&amp;""""&amp;","&amp;""""&amp;S17&amp;""""&amp;","&amp;""""&amp;S18&amp;""""&amp;","&amp;""""&amp;S19&amp;""""&amp;"}"</f>
        <v>{"29年度","30年度","元年度","2年度","3年度"}</v>
      </c>
      <c r="Q32" s="1" t="str">
        <f>"{"&amp;ROUND(T15,3)&amp;","&amp;ROUND(T16,3)&amp;","&amp;ROUND(T17,3)&amp;","&amp;ROUND(T18,3)&amp;","&amp;ROUND(T19,3)&amp;"}"</f>
        <v>{1.86,1.84,1.82,1.82,1.8}</v>
      </c>
      <c r="R32" s="1" t="str">
        <f>"{"&amp;ROUND(U15,3)&amp;","&amp;ROUND(U16,3)&amp;","&amp;ROUND(U17,3)&amp;","&amp;ROUND(U18,3)&amp;","&amp;ROUND(U19,3)&amp;"}"</f>
        <v>{1.62,1.6,1.58,1.57,1.54}</v>
      </c>
      <c r="S32" s="1" t="e">
        <f>"{"&amp;ROUND(#REF!,3)&amp;","&amp;ROUND(#REF!,3)&amp;","&amp;ROUND(#REF!,3)&amp;","&amp;ROUND(#REF!,3)&amp;","&amp;ROUND(#REF!,3)&amp;"}"</f>
        <v>#REF!</v>
      </c>
    </row>
    <row r="33" ht="20.399999999999999" customHeight="1"/>
    <row r="34" ht="20.399999999999999" customHeight="1"/>
    <row r="35" ht="20.399999999999999" customHeight="1"/>
  </sheetData>
  <mergeCells count="8">
    <mergeCell ref="AC6:AD6"/>
    <mergeCell ref="AC13:AD13"/>
    <mergeCell ref="W6:X6"/>
    <mergeCell ref="Y6:Z6"/>
    <mergeCell ref="AA6:AB6"/>
    <mergeCell ref="W13:X13"/>
    <mergeCell ref="Y13:Z13"/>
    <mergeCell ref="AA13:AB13"/>
  </mergeCells>
  <phoneticPr fontId="27"/>
  <printOptions gridLinesSet="0"/>
  <pageMargins left="0.78740157480314965" right="0.98425196850393704" top="0.59055118110236227" bottom="0.59055118110236227" header="0" footer="0.39370078740157483"/>
  <pageSetup paperSize="9" firstPageNumber="33" orientation="portrait" useFirstPageNumber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D34"/>
  <sheetViews>
    <sheetView view="pageBreakPreview" zoomScaleNormal="100" workbookViewId="0"/>
  </sheetViews>
  <sheetFormatPr defaultColWidth="9" defaultRowHeight="12"/>
  <cols>
    <col min="1" max="1" width="3.21875" style="1" customWidth="1" collapsed="1"/>
    <col min="2" max="2" width="4.109375" style="1" customWidth="1" collapsed="1"/>
    <col min="3" max="3" width="1.88671875" style="2" customWidth="1" collapsed="1"/>
    <col min="4" max="4" width="9" style="2" collapsed="1"/>
    <col min="5" max="10" width="9" style="1" collapsed="1"/>
    <col min="11" max="11" width="6.33203125" style="1" customWidth="1" collapsed="1"/>
    <col min="12" max="12" width="3.77734375" style="1" customWidth="1" collapsed="1"/>
    <col min="13" max="13" width="0.88671875" style="1" customWidth="1" collapsed="1"/>
    <col min="14" max="14" width="9" style="1" collapsed="1"/>
    <col min="15" max="22" width="0" style="1" hidden="1" customWidth="1" collapsed="1"/>
    <col min="23" max="30" width="14.33203125" style="1" hidden="1" customWidth="1" collapsed="1"/>
    <col min="31" max="16384" width="9" style="1" collapsed="1"/>
  </cols>
  <sheetData>
    <row r="1" spans="2:30" s="22" customFormat="1" ht="24" customHeight="1">
      <c r="B1" s="47"/>
      <c r="C1" s="47"/>
      <c r="D1" s="772" t="s">
        <v>596</v>
      </c>
      <c r="E1" s="751"/>
      <c r="F1" s="751"/>
      <c r="G1" s="751"/>
      <c r="H1" s="751"/>
      <c r="I1" s="751"/>
      <c r="J1" s="751"/>
      <c r="K1" s="751"/>
      <c r="L1" s="47"/>
    </row>
    <row r="2" spans="2:30" ht="20.399999999999999" customHeight="1">
      <c r="D2"/>
    </row>
    <row r="3" spans="2:30" ht="20.399999999999999" customHeight="1"/>
    <row r="4" spans="2:30" ht="20.399999999999999" customHeight="1">
      <c r="B4" s="2"/>
      <c r="D4" s="688"/>
      <c r="E4" s="96"/>
      <c r="F4" s="96"/>
      <c r="G4" s="96"/>
      <c r="H4" s="96"/>
      <c r="I4" s="96"/>
      <c r="J4" s="96"/>
      <c r="K4" s="96"/>
      <c r="L4" s="2"/>
    </row>
    <row r="5" spans="2:30" ht="20.399999999999999" customHeight="1">
      <c r="P5" s="11" t="s">
        <v>532</v>
      </c>
      <c r="Q5" s="11"/>
      <c r="R5" s="11"/>
      <c r="S5" s="11"/>
      <c r="T5" s="11"/>
      <c r="U5" s="11"/>
      <c r="V5" s="11"/>
    </row>
    <row r="6" spans="2:30" ht="20.399999999999999" customHeight="1">
      <c r="P6" s="695"/>
      <c r="Q6" s="694" t="s">
        <v>486</v>
      </c>
      <c r="R6" s="693"/>
      <c r="S6" s="695"/>
      <c r="T6" s="694" t="s">
        <v>484</v>
      </c>
      <c r="U6" s="693"/>
      <c r="W6" s="2014" t="s">
        <v>823</v>
      </c>
      <c r="X6" s="2014"/>
      <c r="Y6" s="2014" t="s">
        <v>827</v>
      </c>
      <c r="Z6" s="2014"/>
      <c r="AA6" s="2014" t="s">
        <v>824</v>
      </c>
      <c r="AB6" s="2014"/>
      <c r="AC6" s="2014" t="s">
        <v>828</v>
      </c>
      <c r="AD6" s="2014"/>
    </row>
    <row r="7" spans="2:30" ht="20.399999999999999" customHeight="1">
      <c r="E7" s="96"/>
      <c r="F7" s="96"/>
      <c r="G7" s="96"/>
      <c r="H7" s="96"/>
      <c r="I7" s="96"/>
      <c r="J7" s="96"/>
      <c r="K7" s="96"/>
      <c r="P7" s="692" t="s">
        <v>491</v>
      </c>
      <c r="Q7" s="687" t="s">
        <v>562</v>
      </c>
      <c r="R7" s="686" t="s">
        <v>481</v>
      </c>
      <c r="S7" s="692" t="s">
        <v>491</v>
      </c>
      <c r="T7" s="687" t="s">
        <v>562</v>
      </c>
      <c r="U7" s="686" t="s">
        <v>481</v>
      </c>
      <c r="W7" s="1606" t="s">
        <v>137</v>
      </c>
      <c r="X7" s="1606" t="s">
        <v>155</v>
      </c>
      <c r="Y7" s="1606" t="s">
        <v>137</v>
      </c>
      <c r="Z7" s="1606" t="s">
        <v>155</v>
      </c>
      <c r="AA7" s="1606" t="s">
        <v>137</v>
      </c>
      <c r="AB7" s="1606" t="s">
        <v>155</v>
      </c>
      <c r="AC7" s="1606" t="s">
        <v>137</v>
      </c>
      <c r="AD7" s="1606" t="s">
        <v>155</v>
      </c>
    </row>
    <row r="8" spans="2:30" ht="20.399999999999999" customHeight="1">
      <c r="E8" s="96"/>
      <c r="F8" s="2"/>
      <c r="G8" s="96"/>
      <c r="H8" s="96"/>
      <c r="I8" s="96"/>
      <c r="J8" s="96"/>
      <c r="K8" s="96"/>
      <c r="P8" s="1328" t="str">
        <f>情報!$F$6</f>
        <v>29年度</v>
      </c>
      <c r="Q8" s="1327">
        <f>IF(W8=0,"－",ROUND(Y8/W8,2))</f>
        <v>39331.79</v>
      </c>
      <c r="R8" s="1327">
        <f>IF(X8=0,"－",ROUND(Z8/X8,2))</f>
        <v>52282.91</v>
      </c>
      <c r="S8" s="1328" t="str">
        <f>P8</f>
        <v>29年度</v>
      </c>
      <c r="T8" s="1327">
        <f>IF(AA8=0,"－",ROUND(AC8/AA8,2))</f>
        <v>6658.66</v>
      </c>
      <c r="U8" s="1327">
        <f>IF(AB8=0,"－",ROUND(AD8/AB8,2))</f>
        <v>6860.61</v>
      </c>
      <c r="W8" s="1607">
        <v>8428357</v>
      </c>
      <c r="X8" s="1607">
        <v>1390121</v>
      </c>
      <c r="Y8" s="1607">
        <v>331502349518</v>
      </c>
      <c r="Z8" s="1607">
        <v>72679571655</v>
      </c>
      <c r="AA8" s="1607">
        <v>11721197</v>
      </c>
      <c r="AB8" s="1607">
        <v>3805605</v>
      </c>
      <c r="AC8" s="1607">
        <v>78047421421</v>
      </c>
      <c r="AD8" s="1607">
        <v>26108767894</v>
      </c>
    </row>
    <row r="9" spans="2:30" ht="20.399999999999999" customHeight="1">
      <c r="C9" s="1"/>
      <c r="K9" s="58"/>
      <c r="P9" s="1328" t="str">
        <f>情報!$F$5</f>
        <v>30年度</v>
      </c>
      <c r="Q9" s="1327">
        <f t="shared" ref="Q9:R12" si="0">IF(W9=0,"－",ROUND(Y9/W9,2))</f>
        <v>39949.64</v>
      </c>
      <c r="R9" s="1327">
        <f t="shared" si="0"/>
        <v>54230.82</v>
      </c>
      <c r="S9" s="1328" t="str">
        <f>P9</f>
        <v>30年度</v>
      </c>
      <c r="T9" s="1327">
        <f t="shared" ref="T9:U12" si="1">IF(AA9=0,"－",ROUND(AC9/AA9,2))</f>
        <v>6790.51</v>
      </c>
      <c r="U9" s="1327">
        <f t="shared" si="1"/>
        <v>6999.04</v>
      </c>
      <c r="W9" s="1607">
        <v>8161824</v>
      </c>
      <c r="X9" s="1607">
        <v>1340368</v>
      </c>
      <c r="Y9" s="1607">
        <v>326061934464</v>
      </c>
      <c r="Z9" s="1607">
        <v>72689252781</v>
      </c>
      <c r="AA9" s="1607">
        <v>11115150</v>
      </c>
      <c r="AB9" s="1607">
        <v>3735242</v>
      </c>
      <c r="AC9" s="1607">
        <v>75477539684</v>
      </c>
      <c r="AD9" s="1607">
        <v>26143101833</v>
      </c>
    </row>
    <row r="10" spans="2:30" ht="20.399999999999999" customHeight="1">
      <c r="D10" s="96"/>
      <c r="E10" s="96"/>
      <c r="F10" s="96"/>
      <c r="G10" s="96"/>
      <c r="H10" s="96"/>
      <c r="I10" s="96"/>
      <c r="J10" s="96"/>
      <c r="K10" s="96"/>
      <c r="P10" s="1328" t="str">
        <f>情報!$F$4</f>
        <v>元年度</v>
      </c>
      <c r="Q10" s="1327">
        <f t="shared" si="0"/>
        <v>40615.64</v>
      </c>
      <c r="R10" s="1327">
        <f t="shared" si="0"/>
        <v>55963.17</v>
      </c>
      <c r="S10" s="1328" t="str">
        <f>P10</f>
        <v>元年度</v>
      </c>
      <c r="T10" s="1327">
        <f t="shared" si="1"/>
        <v>6875.62</v>
      </c>
      <c r="U10" s="1327">
        <f t="shared" si="1"/>
        <v>7125.54</v>
      </c>
      <c r="W10" s="1607">
        <v>7967243</v>
      </c>
      <c r="X10" s="1607">
        <v>1304584</v>
      </c>
      <c r="Y10" s="1607">
        <v>323594675389</v>
      </c>
      <c r="Z10" s="1607">
        <v>73008659032</v>
      </c>
      <c r="AA10" s="1607">
        <v>10681372</v>
      </c>
      <c r="AB10" s="1607">
        <v>3710903</v>
      </c>
      <c r="AC10" s="1607">
        <v>73441074063</v>
      </c>
      <c r="AD10" s="1607">
        <v>26442181774</v>
      </c>
    </row>
    <row r="11" spans="2:30" ht="20.399999999999999" customHeight="1">
      <c r="C11" s="685"/>
      <c r="P11" s="1328" t="str">
        <f>情報!$F$3</f>
        <v>2年度</v>
      </c>
      <c r="Q11" s="1327">
        <f t="shared" si="0"/>
        <v>41240.07</v>
      </c>
      <c r="R11" s="1327">
        <f t="shared" si="0"/>
        <v>58490.12</v>
      </c>
      <c r="S11" s="1328" t="str">
        <f>P11</f>
        <v>2年度</v>
      </c>
      <c r="T11" s="1327">
        <f t="shared" si="1"/>
        <v>7363.11</v>
      </c>
      <c r="U11" s="1327">
        <f t="shared" si="1"/>
        <v>7604.88</v>
      </c>
      <c r="W11" s="1607">
        <v>7467089</v>
      </c>
      <c r="X11" s="1607">
        <v>1167129</v>
      </c>
      <c r="Y11" s="1607">
        <v>307943254454</v>
      </c>
      <c r="Z11" s="1607">
        <v>68265513576</v>
      </c>
      <c r="AA11" s="1607">
        <v>9221727</v>
      </c>
      <c r="AB11" s="1607">
        <v>3471110</v>
      </c>
      <c r="AC11" s="1607">
        <v>67900580602</v>
      </c>
      <c r="AD11" s="1607">
        <v>26397377146</v>
      </c>
    </row>
    <row r="12" spans="2:30" ht="20.399999999999999" customHeight="1">
      <c r="P12" s="1328" t="str">
        <f>情報!$F$2</f>
        <v>3年度</v>
      </c>
      <c r="Q12" s="1327">
        <f t="shared" si="0"/>
        <v>43833.51</v>
      </c>
      <c r="R12" s="1327">
        <f t="shared" si="0"/>
        <v>62665.77</v>
      </c>
      <c r="S12" s="1328" t="str">
        <f>P12</f>
        <v>3年度</v>
      </c>
      <c r="T12" s="1327">
        <f t="shared" si="1"/>
        <v>7536.05</v>
      </c>
      <c r="U12" s="1327">
        <f t="shared" si="1"/>
        <v>7772.87</v>
      </c>
      <c r="W12" s="1607">
        <v>7453652</v>
      </c>
      <c r="X12" s="1607">
        <v>1176153</v>
      </c>
      <c r="Y12" s="1607">
        <v>326719720605</v>
      </c>
      <c r="Z12" s="1607">
        <v>73704535922</v>
      </c>
      <c r="AA12" s="1607">
        <v>9652430</v>
      </c>
      <c r="AB12" s="1607">
        <v>3551076</v>
      </c>
      <c r="AC12" s="1607">
        <v>72741183554</v>
      </c>
      <c r="AD12" s="1607">
        <v>27602050389</v>
      </c>
    </row>
    <row r="13" spans="2:30" ht="20.399999999999999" customHeight="1">
      <c r="P13" s="1329"/>
      <c r="Q13" s="1330" t="s">
        <v>172</v>
      </c>
      <c r="R13" s="1331"/>
      <c r="S13" s="1329"/>
      <c r="T13" s="1330" t="s">
        <v>30</v>
      </c>
      <c r="U13" s="1331"/>
      <c r="W13" s="2014" t="s">
        <v>825</v>
      </c>
      <c r="X13" s="2014"/>
      <c r="Y13" s="2014" t="s">
        <v>829</v>
      </c>
      <c r="Z13" s="2014"/>
      <c r="AA13" s="2014" t="s">
        <v>826</v>
      </c>
      <c r="AB13" s="2014"/>
      <c r="AC13" s="2014" t="s">
        <v>759</v>
      </c>
      <c r="AD13" s="2014"/>
    </row>
    <row r="14" spans="2:30" ht="20.399999999999999" customHeight="1">
      <c r="P14" s="1329" t="s">
        <v>491</v>
      </c>
      <c r="Q14" s="1332" t="s">
        <v>562</v>
      </c>
      <c r="R14" s="1332" t="s">
        <v>481</v>
      </c>
      <c r="S14" s="1329" t="s">
        <v>491</v>
      </c>
      <c r="T14" s="1332" t="s">
        <v>562</v>
      </c>
      <c r="U14" s="1332" t="s">
        <v>481</v>
      </c>
      <c r="W14" s="1606" t="s">
        <v>137</v>
      </c>
      <c r="X14" s="1606" t="s">
        <v>155</v>
      </c>
      <c r="Y14" s="1606" t="s">
        <v>137</v>
      </c>
      <c r="Z14" s="1606" t="s">
        <v>155</v>
      </c>
      <c r="AA14" s="1606" t="s">
        <v>137</v>
      </c>
      <c r="AB14" s="1606" t="s">
        <v>155</v>
      </c>
      <c r="AC14" s="1606" t="s">
        <v>137</v>
      </c>
      <c r="AD14" s="1606" t="s">
        <v>155</v>
      </c>
    </row>
    <row r="15" spans="2:30" ht="20.399999999999999" customHeight="1">
      <c r="B15" s="3"/>
      <c r="P15" s="1328" t="str">
        <f>P8</f>
        <v>29年度</v>
      </c>
      <c r="Q15" s="1327">
        <f>IF(W15=0,"－",ROUND(Y15/W15,2))</f>
        <v>9213.14</v>
      </c>
      <c r="R15" s="1327">
        <f>IF(X15=0,"－",ROUND(Z15/X15,2))</f>
        <v>8298.86</v>
      </c>
      <c r="S15" s="1328" t="str">
        <f>P8</f>
        <v>29年度</v>
      </c>
      <c r="T15" s="1327">
        <f>IF(AA15=0,"－",ROUND(AC15/AA15,2))</f>
        <v>12989.64</v>
      </c>
      <c r="U15" s="1327">
        <f>IF(AB15=0,"－",ROUND(AD15/AB15,2))</f>
        <v>11571.86</v>
      </c>
      <c r="W15" s="1607">
        <v>39140502</v>
      </c>
      <c r="X15" s="1607">
        <v>11813050</v>
      </c>
      <c r="Y15" s="1607">
        <v>360606897487</v>
      </c>
      <c r="Z15" s="1607">
        <v>98034814218</v>
      </c>
      <c r="AA15" s="1607">
        <v>59290056</v>
      </c>
      <c r="AB15" s="1607">
        <v>17008776</v>
      </c>
      <c r="AC15" s="1607">
        <v>770156668426</v>
      </c>
      <c r="AD15" s="1607">
        <v>196823153767</v>
      </c>
    </row>
    <row r="16" spans="2:30" ht="20.399999999999999" customHeight="1">
      <c r="B16" s="3"/>
      <c r="P16" s="1328" t="str">
        <f>P9</f>
        <v>30年度</v>
      </c>
      <c r="Q16" s="1327">
        <f t="shared" ref="Q16:R19" si="2">IF(W16=0,"－",ROUND(Y16/W16,2))</f>
        <v>9463.82</v>
      </c>
      <c r="R16" s="1327">
        <f t="shared" si="2"/>
        <v>8412.48</v>
      </c>
      <c r="S16" s="1328" t="str">
        <f>P9</f>
        <v>30年度</v>
      </c>
      <c r="T16" s="1327">
        <f t="shared" ref="T16:U19" si="3">IF(AA16=0,"－",ROUND(AC16/AA16,2))</f>
        <v>13313.78</v>
      </c>
      <c r="U16" s="1327">
        <f t="shared" si="3"/>
        <v>11775.66</v>
      </c>
      <c r="W16" s="1607">
        <v>37634230</v>
      </c>
      <c r="X16" s="1607">
        <v>11615086</v>
      </c>
      <c r="Y16" s="1607">
        <v>356163735545</v>
      </c>
      <c r="Z16" s="1607">
        <v>97711671465</v>
      </c>
      <c r="AA16" s="1607">
        <v>56911204</v>
      </c>
      <c r="AB16" s="1607">
        <v>16690696</v>
      </c>
      <c r="AC16" s="1607">
        <v>757703209693</v>
      </c>
      <c r="AD16" s="1607">
        <v>196544026079</v>
      </c>
    </row>
    <row r="17" spans="1:30" ht="20.399999999999999" customHeight="1">
      <c r="P17" s="1328" t="str">
        <f>P10</f>
        <v>元年度</v>
      </c>
      <c r="Q17" s="1327">
        <f t="shared" si="2"/>
        <v>9804.25</v>
      </c>
      <c r="R17" s="1327">
        <f t="shared" si="2"/>
        <v>8691.27</v>
      </c>
      <c r="S17" s="1328" t="str">
        <f>P10</f>
        <v>元年度</v>
      </c>
      <c r="T17" s="1327">
        <f t="shared" si="3"/>
        <v>13724.16</v>
      </c>
      <c r="U17" s="1327">
        <f t="shared" si="3"/>
        <v>12106.42</v>
      </c>
      <c r="W17" s="1607">
        <v>35995597</v>
      </c>
      <c r="X17" s="1607">
        <v>11341003</v>
      </c>
      <c r="Y17" s="1607">
        <v>352909953534</v>
      </c>
      <c r="Z17" s="1607">
        <v>98567719489</v>
      </c>
      <c r="AA17" s="1607">
        <v>54644212</v>
      </c>
      <c r="AB17" s="1607">
        <v>16356490</v>
      </c>
      <c r="AC17" s="1607">
        <v>749945702986</v>
      </c>
      <c r="AD17" s="1607">
        <v>198018560295</v>
      </c>
    </row>
    <row r="18" spans="1:30" ht="20.399999999999999" customHeight="1">
      <c r="P18" s="1328" t="str">
        <f>P11</f>
        <v>2年度</v>
      </c>
      <c r="Q18" s="1327">
        <f t="shared" si="2"/>
        <v>10649.76</v>
      </c>
      <c r="R18" s="1327">
        <f t="shared" si="2"/>
        <v>9427.1299999999992</v>
      </c>
      <c r="S18" s="1328" t="str">
        <f>P11</f>
        <v>2年度</v>
      </c>
      <c r="T18" s="1327">
        <f t="shared" si="3"/>
        <v>14798.74</v>
      </c>
      <c r="U18" s="1327">
        <f t="shared" si="3"/>
        <v>12939.96</v>
      </c>
      <c r="W18" s="1607">
        <v>31060793</v>
      </c>
      <c r="X18" s="1607">
        <v>9862195</v>
      </c>
      <c r="Y18" s="1607">
        <v>330790033165</v>
      </c>
      <c r="Z18" s="1607">
        <v>92972165117</v>
      </c>
      <c r="AA18" s="1607">
        <v>47749609</v>
      </c>
      <c r="AB18" s="1607">
        <v>14500434</v>
      </c>
      <c r="AC18" s="1607">
        <v>706633868221</v>
      </c>
      <c r="AD18" s="1607">
        <v>187635055839</v>
      </c>
    </row>
    <row r="19" spans="1:30" ht="20.399999999999999" customHeight="1">
      <c r="P19" s="1328" t="str">
        <f>P12</f>
        <v>3年度</v>
      </c>
      <c r="Q19" s="1327">
        <f t="shared" si="2"/>
        <v>10906.21</v>
      </c>
      <c r="R19" s="1327">
        <f t="shared" si="2"/>
        <v>9755.08</v>
      </c>
      <c r="S19" s="1328" t="str">
        <f>P12</f>
        <v>3年度</v>
      </c>
      <c r="T19" s="1327">
        <f t="shared" si="3"/>
        <v>15143.67</v>
      </c>
      <c r="U19" s="1327">
        <f t="shared" si="3"/>
        <v>13361.68</v>
      </c>
      <c r="W19" s="1607">
        <v>33135837</v>
      </c>
      <c r="X19" s="1607">
        <v>10575868</v>
      </c>
      <c r="Y19" s="1607">
        <v>361386369325</v>
      </c>
      <c r="Z19" s="1607">
        <v>103168477572</v>
      </c>
      <c r="AA19" s="1607">
        <v>50241919</v>
      </c>
      <c r="AB19" s="1607">
        <v>15303097</v>
      </c>
      <c r="AC19" s="1607">
        <v>760847273484</v>
      </c>
      <c r="AD19" s="1607">
        <v>204475063883</v>
      </c>
    </row>
    <row r="20" spans="1:30" ht="20.399999999999999" customHeight="1"/>
    <row r="21" spans="1:30" ht="20.399999999999999" customHeight="1">
      <c r="K21" s="58"/>
      <c r="O21" s="1" t="s">
        <v>235</v>
      </c>
      <c r="P21" s="8" t="s">
        <v>486</v>
      </c>
      <c r="X21" s="1" t="s">
        <v>294</v>
      </c>
    </row>
    <row r="22" spans="1:30" ht="20.399999999999999" customHeight="1">
      <c r="C22" s="685"/>
      <c r="P22" s="8" t="s">
        <v>483</v>
      </c>
      <c r="Q22" s="1" t="str">
        <f>Q7</f>
        <v>公営</v>
      </c>
      <c r="R22" s="1" t="str">
        <f>R7</f>
        <v>組合</v>
      </c>
      <c r="S22" s="1" t="e">
        <f>#REF!</f>
        <v>#REF!</v>
      </c>
      <c r="X22" s="652" t="s">
        <v>137</v>
      </c>
      <c r="Y22" s="652" t="s">
        <v>490</v>
      </c>
      <c r="Z22" s="652" t="s">
        <v>489</v>
      </c>
      <c r="AA22" s="652" t="s">
        <v>488</v>
      </c>
      <c r="AB22" s="652" t="s">
        <v>457</v>
      </c>
    </row>
    <row r="23" spans="1:30" ht="20.399999999999999" customHeight="1">
      <c r="P23" s="1" t="str">
        <f>"{"&amp;""""&amp;P8&amp;""""&amp;","&amp;""""&amp;P9&amp;""""&amp;","&amp;""""&amp;P10&amp;""""&amp;","&amp;""""&amp;P11&amp;""""&amp;","&amp;""""&amp;P12&amp;""""&amp;"}"</f>
        <v>{"29年度","30年度","元年度","2年度","3年度"}</v>
      </c>
      <c r="Q23" s="1" t="str">
        <f>"{"&amp;ROUND(Q8,3)&amp;","&amp;ROUND(Q9,3)&amp;","&amp;ROUND(Q10,3)&amp;","&amp;ROUND(Q11,3)&amp;","&amp;ROUND(Q12,3)&amp;"}"</f>
        <v>{39331.79,39949.64,40615.64,41240.07,43833.51}</v>
      </c>
      <c r="R23" s="1" t="str">
        <f>"{"&amp;ROUND(R8,3)&amp;","&amp;ROUND(R9,3)&amp;","&amp;ROUND(R10,3)&amp;","&amp;ROUND(R11,3)&amp;","&amp;ROUND(R12,3)&amp;"}"</f>
        <v>{52282.91,54230.82,55963.17,58490.12,62665.77}</v>
      </c>
      <c r="S23" s="1" t="e">
        <f>"{"&amp;ROUND(#REF!,3)&amp;","&amp;ROUND(#REF!,3)&amp;","&amp;ROUND(#REF!,3)&amp;","&amp;ROUND(#REF!,3)&amp;","&amp;ROUND(#REF!,3)&amp;"}"</f>
        <v>#REF!</v>
      </c>
      <c r="X23" s="652" t="s">
        <v>493</v>
      </c>
      <c r="Y23" s="652" t="str">
        <f>FIXED(Q12,0)</f>
        <v>43,834</v>
      </c>
      <c r="Z23" s="652" t="str">
        <f>FIXED(Q19,0)</f>
        <v>10,906</v>
      </c>
      <c r="AA23" s="652" t="str">
        <f>FIXED(T12,0)</f>
        <v>7,536</v>
      </c>
      <c r="AB23" s="652" t="str">
        <f>FIXED(T19,0)</f>
        <v>15,144</v>
      </c>
    </row>
    <row r="24" spans="1:30" ht="20.399999999999999" customHeight="1">
      <c r="P24" s="8" t="s">
        <v>172</v>
      </c>
      <c r="X24" s="652" t="s">
        <v>485</v>
      </c>
      <c r="Y24" s="652">
        <f>ROUND(Q12/Q11*100,1)-100</f>
        <v>6.2999999999999972</v>
      </c>
      <c r="Z24" s="652">
        <f>ROUND(Q19/Q18*100,1)-100</f>
        <v>2.4000000000000057</v>
      </c>
      <c r="AA24" s="652">
        <f>ROUND(T12/T11*100,1)-100</f>
        <v>2.2999999999999972</v>
      </c>
      <c r="AB24" s="652">
        <f>ROUND(T19/T18*100,1)-100</f>
        <v>2.2999999999999972</v>
      </c>
    </row>
    <row r="25" spans="1:30" ht="20.399999999999999" customHeight="1">
      <c r="P25" s="8" t="s">
        <v>483</v>
      </c>
      <c r="Q25" s="1" t="str">
        <f>Q14</f>
        <v>公営</v>
      </c>
      <c r="R25" s="1" t="str">
        <f>R14</f>
        <v>組合</v>
      </c>
      <c r="S25" s="1" t="e">
        <f>#REF!</f>
        <v>#REF!</v>
      </c>
      <c r="X25" s="652"/>
      <c r="Y25" s="674" t="str">
        <f>IF(Y24=0,IF(Q12=Q11,"増減なし",IF(Q12&gt;Q11,"微増","微減")),IF(Y24&lt;0,FIXED(ABS(Y24),1)&amp;"％減",FIXED(ABS(Y24),1)&amp;"％増"))</f>
        <v>6.3％増</v>
      </c>
      <c r="Z25" s="674" t="str">
        <f>IF(Z24=0,IF(R19=R18,"増減なし",IF(R19&gt;R18,"微増","微減")),IF(Z24&lt;0,FIXED(ABS(Z24),1)&amp;"％減",FIXED(ABS(Z24),1)&amp;"％増"))</f>
        <v>2.4％増</v>
      </c>
      <c r="AA25" s="674" t="str">
        <f>IF(AA24=0,IF(T12=T11,"増減なし",IF(T12&gt;T11,"微増","微減")),IF(AA24&lt;0,FIXED(ABS(AA24),1)&amp;"％減",FIXED(ABS(AA24),1)&amp;"％増"))</f>
        <v>2.3％増</v>
      </c>
      <c r="AB25" s="674" t="str">
        <f>IF(AB24=0,IF(T19=T18,"増減なし",IF(T19&gt;T18,"微増","微減")),IF(AB24&lt;0,FIXED(ABS(AB24),1)&amp;"％減",FIXED(ABS(AB24),1)&amp;"％増"))</f>
        <v>2.3％増</v>
      </c>
    </row>
    <row r="26" spans="1:30" ht="20.399999999999999" customHeight="1">
      <c r="B26" s="3"/>
      <c r="K26" s="58"/>
      <c r="P26" s="1" t="str">
        <f>"{"&amp;""""&amp;P15&amp;""""&amp;","&amp;""""&amp;P16&amp;""""&amp;","&amp;""""&amp;P17&amp;""""&amp;","&amp;""""&amp;P18&amp;""""&amp;","&amp;""""&amp;P19&amp;""""&amp;"}"</f>
        <v>{"29年度","30年度","元年度","2年度","3年度"}</v>
      </c>
      <c r="Q26" s="1" t="str">
        <f>"{"&amp;ROUND(Q15,3)&amp;","&amp;ROUND(Q16,3)&amp;","&amp;ROUND(Q17,3)&amp;","&amp;ROUND(Q18,3)&amp;","&amp;ROUND(Q19,3)&amp;"}"</f>
        <v>{9213.14,9463.82,9804.25,10649.76,10906.21}</v>
      </c>
      <c r="R26" s="1" t="str">
        <f>"{"&amp;ROUND(R15,3)&amp;","&amp;ROUND(R16,3)&amp;","&amp;ROUND(R17,3)&amp;","&amp;ROUND(R18,3)&amp;","&amp;ROUND(R19,3)&amp;"}"</f>
        <v>{8298.86,8412.48,8691.27,9427.13,9755.08}</v>
      </c>
      <c r="S26" s="1" t="e">
        <f>"{"&amp;ROUND(#REF!,3)&amp;","&amp;ROUND(#REF!,3)&amp;","&amp;ROUND(#REF!,3)&amp;","&amp;ROUND(#REF!,3)&amp;","&amp;ROUND(#REF!,3)&amp;"}"</f>
        <v>#REF!</v>
      </c>
      <c r="X26" s="652" t="s">
        <v>155</v>
      </c>
      <c r="Y26" s="652" t="s">
        <v>490</v>
      </c>
      <c r="Z26" s="652" t="s">
        <v>489</v>
      </c>
      <c r="AA26" s="652" t="s">
        <v>488</v>
      </c>
      <c r="AB26" s="652" t="s">
        <v>457</v>
      </c>
    </row>
    <row r="27" spans="1:30" ht="20.399999999999999" customHeight="1">
      <c r="K27"/>
      <c r="P27" s="8" t="s">
        <v>484</v>
      </c>
      <c r="X27" s="652" t="s">
        <v>493</v>
      </c>
      <c r="Y27" s="652" t="str">
        <f>FIXED(R12,0)</f>
        <v>62,666</v>
      </c>
      <c r="Z27" s="652" t="str">
        <f>FIXED(R19,0)</f>
        <v>9,755</v>
      </c>
      <c r="AA27" s="652" t="str">
        <f>FIXED(U12,0)</f>
        <v>7,773</v>
      </c>
      <c r="AB27" s="652" t="str">
        <f>FIXED(U19,0)</f>
        <v>13,362</v>
      </c>
    </row>
    <row r="28" spans="1:30" ht="20.399999999999999" customHeight="1">
      <c r="P28" s="8" t="s">
        <v>483</v>
      </c>
      <c r="Q28" s="1" t="str">
        <f>T7</f>
        <v>公営</v>
      </c>
      <c r="R28" s="1" t="str">
        <f>U7</f>
        <v>組合</v>
      </c>
      <c r="S28" s="1" t="e">
        <f>#REF!</f>
        <v>#REF!</v>
      </c>
      <c r="X28" s="652" t="s">
        <v>485</v>
      </c>
      <c r="Y28" s="652">
        <f>ROUND(R12/R11*100,1)-100</f>
        <v>7.0999999999999943</v>
      </c>
      <c r="Z28" s="652">
        <f>ROUND(R19/R18*100,1)-100</f>
        <v>3.5</v>
      </c>
      <c r="AA28" s="652">
        <f>ROUND(U12/U11*100,1)-100</f>
        <v>2.2000000000000028</v>
      </c>
      <c r="AB28" s="652">
        <f>ROUND(U19/U18*100,1)-100</f>
        <v>3.2999999999999972</v>
      </c>
    </row>
    <row r="29" spans="1:30" ht="20.399999999999999" customHeight="1">
      <c r="P29" s="1" t="str">
        <f>"{"&amp;""""&amp;S8&amp;""""&amp;","&amp;""""&amp;S9&amp;""""&amp;","&amp;""""&amp;S10&amp;""""&amp;","&amp;""""&amp;S11&amp;""""&amp;","&amp;""""&amp;S12&amp;""""&amp;"}"</f>
        <v>{"29年度","30年度","元年度","2年度","3年度"}</v>
      </c>
      <c r="Q29" s="1" t="str">
        <f>"{"&amp;ROUND(T8,3)&amp;","&amp;ROUND(T9,3)&amp;","&amp;ROUND(T10,3)&amp;","&amp;ROUND(T11,3)&amp;","&amp;ROUND(T12,3)&amp;"}"</f>
        <v>{6658.66,6790.51,6875.62,7363.11,7536.05}</v>
      </c>
      <c r="R29" s="1" t="str">
        <f>"{"&amp;ROUND(U8,3)&amp;","&amp;ROUND(U9,3)&amp;","&amp;ROUND(U10,3)&amp;","&amp;ROUND(U11,3)&amp;","&amp;ROUND(U12,3)&amp;"}"</f>
        <v>{6860.61,6999.04,7125.54,7604.88,7772.87}</v>
      </c>
      <c r="S29" s="1" t="e">
        <f>"{"&amp;ROUND(#REF!,3)&amp;","&amp;ROUND(#REF!,3)&amp;","&amp;ROUND(#REF!,3)&amp;","&amp;ROUND(#REF!,3)&amp;","&amp;ROUND(#REF!,3)&amp;"}"</f>
        <v>#REF!</v>
      </c>
      <c r="X29" s="652"/>
      <c r="Y29" s="674" t="str">
        <f>IF(Y28=0,IF(R12=R11,"増減なし",IF(R12&gt;R11,"微増","微減")),IF(Y28&lt;0,FIXED(ABS(Y28),1)&amp;"％減",FIXED(ABS(Y28),1)&amp;"％増"))</f>
        <v>7.1％増</v>
      </c>
      <c r="Z29" s="674" t="str">
        <f>IF(Z28=0,IF(R19=R18,"増減なし",IF(R19&gt;R18,"微増","微減")),IF(Z28&lt;0,FIXED(ABS(Z28),1)&amp;"％減",FIXED(ABS(Z28),1)&amp;"％増"))</f>
        <v>3.5％増</v>
      </c>
      <c r="AA29" s="674" t="str">
        <f>IF(AA28=0,IF(U12=U11,"増減なし",IF(U12&gt;U11,"微増","微減")),IF(AA28&lt;0,FIXED(ABS(AA28),1)&amp;"％減",FIXED(ABS(AA28),1)&amp;"％増"))</f>
        <v>2.2％増</v>
      </c>
      <c r="AB29" s="674" t="str">
        <f>IF(AB28=0,IF(U19=U18,"増減なし",IF(U19&gt;U18,"微増","微減")),IF(AB28&lt;0,FIXED(ABS(AB28),1)&amp;"％減",FIXED(ABS(AB28),1)&amp;"％増"))</f>
        <v>3.3％増</v>
      </c>
    </row>
    <row r="30" spans="1:30" ht="20.399999999999999" customHeight="1">
      <c r="A30" s="1" t="s">
        <v>558</v>
      </c>
      <c r="P30" s="8" t="s">
        <v>30</v>
      </c>
    </row>
    <row r="31" spans="1:30" ht="20.399999999999999" customHeight="1">
      <c r="P31" s="8" t="s">
        <v>483</v>
      </c>
      <c r="Q31" s="1" t="str">
        <f>T14</f>
        <v>公営</v>
      </c>
      <c r="R31" s="1" t="str">
        <f>U14</f>
        <v>組合</v>
      </c>
      <c r="S31" s="1" t="e">
        <f>#REF!</f>
        <v>#REF!</v>
      </c>
    </row>
    <row r="32" spans="1:30" ht="20.399999999999999" customHeight="1">
      <c r="P32" s="1" t="str">
        <f>"{"&amp;""""&amp;S15&amp;""""&amp;","&amp;""""&amp;S16&amp;""""&amp;","&amp;""""&amp;S17&amp;""""&amp;","&amp;""""&amp;S18&amp;""""&amp;","&amp;""""&amp;S19&amp;""""&amp;"}"</f>
        <v>{"29年度","30年度","元年度","2年度","3年度"}</v>
      </c>
      <c r="Q32" s="1" t="str">
        <f>"{"&amp;ROUND(T15,3)&amp;","&amp;ROUND(T16,3)&amp;","&amp;ROUND(T17,3)&amp;","&amp;ROUND(T18,3)&amp;","&amp;ROUND(T19,3)&amp;"}"</f>
        <v>{12989.64,13313.78,13724.16,14798.74,15143.67}</v>
      </c>
      <c r="R32" s="1" t="str">
        <f>"{"&amp;ROUND(U15,3)&amp;","&amp;ROUND(U16,3)&amp;","&amp;ROUND(U17,3)&amp;","&amp;ROUND(U18,3)&amp;","&amp;ROUND(U19,3)&amp;"}"</f>
        <v>{11571.86,11775.66,12106.42,12939.96,13361.68}</v>
      </c>
      <c r="S32" s="1" t="e">
        <f>"{"&amp;ROUND(#REF!,3)&amp;","&amp;ROUND(#REF!,3)&amp;","&amp;ROUND(#REF!,3)&amp;","&amp;ROUND(#REF!,3)&amp;","&amp;ROUND(#REF!,3)&amp;"}"</f>
        <v>#REF!</v>
      </c>
    </row>
    <row r="33" ht="20.399999999999999" customHeight="1"/>
    <row r="34" ht="20.399999999999999" customHeight="1"/>
  </sheetData>
  <mergeCells count="8">
    <mergeCell ref="W6:X6"/>
    <mergeCell ref="Y6:Z6"/>
    <mergeCell ref="AA6:AB6"/>
    <mergeCell ref="AC6:AD6"/>
    <mergeCell ref="W13:X13"/>
    <mergeCell ref="Y13:Z13"/>
    <mergeCell ref="AA13:AB13"/>
    <mergeCell ref="AC13:AD13"/>
  </mergeCells>
  <phoneticPr fontId="27"/>
  <printOptions gridLinesSet="0"/>
  <pageMargins left="0.78740157480314965" right="0.98425196850393704" top="0.55118110236220474" bottom="0.59055118110236227" header="0" footer="0.39370078740157483"/>
  <pageSetup paperSize="9" firstPageNumber="34" orientation="portrait" useFirstPageNumber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B34"/>
  <sheetViews>
    <sheetView view="pageBreakPreview" zoomScaleNormal="100" workbookViewId="0"/>
  </sheetViews>
  <sheetFormatPr defaultColWidth="9" defaultRowHeight="12"/>
  <cols>
    <col min="1" max="1" width="3.21875" style="1" customWidth="1" collapsed="1"/>
    <col min="2" max="2" width="4.109375" style="1" customWidth="1" collapsed="1"/>
    <col min="3" max="3" width="1.88671875" style="2" customWidth="1" collapsed="1"/>
    <col min="4" max="4" width="9" style="2" collapsed="1"/>
    <col min="5" max="10" width="9" style="1" collapsed="1"/>
    <col min="11" max="11" width="6.33203125" style="1" customWidth="1" collapsed="1"/>
    <col min="12" max="12" width="3.77734375" style="1" customWidth="1" collapsed="1"/>
    <col min="13" max="13" width="1" style="1" customWidth="1" collapsed="1"/>
    <col min="14" max="14" width="9" style="1" collapsed="1"/>
    <col min="15" max="22" width="0" style="1" hidden="1" customWidth="1" collapsed="1"/>
    <col min="23" max="28" width="15.88671875" style="1" hidden="1" customWidth="1" collapsed="1"/>
    <col min="29" max="30" width="10.6640625" style="1" customWidth="1" collapsed="1"/>
    <col min="31" max="16384" width="9" style="1" collapsed="1"/>
  </cols>
  <sheetData>
    <row r="1" spans="2:28" s="22" customFormat="1" ht="24" customHeight="1">
      <c r="C1" s="47"/>
      <c r="D1" s="772" t="s">
        <v>597</v>
      </c>
      <c r="K1" s="752"/>
    </row>
    <row r="2" spans="2:28" s="22" customFormat="1" ht="20.399999999999999" customHeight="1">
      <c r="C2" s="47"/>
      <c r="D2" s="47"/>
    </row>
    <row r="3" spans="2:28" s="22" customFormat="1" ht="20.399999999999999" customHeight="1">
      <c r="B3" s="752"/>
      <c r="C3" s="47"/>
      <c r="D3" s="47"/>
      <c r="E3" s="751"/>
      <c r="F3" s="751"/>
      <c r="G3" s="751"/>
      <c r="H3" s="751"/>
      <c r="I3" s="751"/>
      <c r="J3" s="751"/>
    </row>
    <row r="4" spans="2:28" s="22" customFormat="1" ht="20.399999999999999" customHeight="1">
      <c r="B4" s="47"/>
      <c r="C4" s="47"/>
      <c r="E4" s="751"/>
      <c r="F4" s="751"/>
      <c r="G4" s="751"/>
      <c r="H4" s="751"/>
      <c r="I4" s="751"/>
      <c r="J4" s="751"/>
      <c r="K4" s="751"/>
      <c r="L4" s="47"/>
    </row>
    <row r="5" spans="2:28" s="22" customFormat="1" ht="20.399999999999999" customHeight="1">
      <c r="C5" s="47"/>
      <c r="D5" s="47"/>
      <c r="P5" s="11" t="s">
        <v>495</v>
      </c>
      <c r="Q5" s="11"/>
      <c r="R5" s="11"/>
      <c r="S5" s="11"/>
      <c r="T5" s="11"/>
      <c r="U5" s="11"/>
      <c r="V5" s="535"/>
    </row>
    <row r="6" spans="2:28" s="22" customFormat="1" ht="20.399999999999999" customHeight="1">
      <c r="C6" s="47"/>
      <c r="D6" s="47"/>
      <c r="P6" s="1341"/>
      <c r="Q6" s="1342" t="s">
        <v>486</v>
      </c>
      <c r="R6" s="1343"/>
      <c r="S6" s="1341"/>
      <c r="T6" s="1342" t="s">
        <v>484</v>
      </c>
      <c r="U6" s="1343"/>
      <c r="W6" s="2014" t="s">
        <v>819</v>
      </c>
      <c r="X6" s="2014"/>
      <c r="Y6" s="2014" t="s">
        <v>827</v>
      </c>
      <c r="Z6" s="2014"/>
      <c r="AA6" s="2014" t="s">
        <v>828</v>
      </c>
      <c r="AB6" s="2014"/>
    </row>
    <row r="7" spans="2:28" s="22" customFormat="1" ht="20.399999999999999" customHeight="1">
      <c r="C7" s="47"/>
      <c r="D7" s="47"/>
      <c r="E7" s="751"/>
      <c r="F7" s="751"/>
      <c r="G7" s="751"/>
      <c r="H7" s="751"/>
      <c r="I7" s="751"/>
      <c r="J7" s="751"/>
      <c r="K7" s="751"/>
      <c r="P7" s="1344" t="s">
        <v>491</v>
      </c>
      <c r="Q7" s="1332" t="s">
        <v>562</v>
      </c>
      <c r="R7" s="1332" t="s">
        <v>481</v>
      </c>
      <c r="S7" s="1344" t="s">
        <v>491</v>
      </c>
      <c r="T7" s="1332" t="s">
        <v>562</v>
      </c>
      <c r="U7" s="1332" t="s">
        <v>481</v>
      </c>
      <c r="W7" s="1606" t="s">
        <v>137</v>
      </c>
      <c r="X7" s="1606" t="s">
        <v>155</v>
      </c>
      <c r="Y7" s="1606" t="s">
        <v>137</v>
      </c>
      <c r="Z7" s="1606" t="s">
        <v>155</v>
      </c>
      <c r="AA7" s="1606" t="s">
        <v>137</v>
      </c>
      <c r="AB7" s="1606" t="s">
        <v>155</v>
      </c>
    </row>
    <row r="8" spans="2:28" s="22" customFormat="1" ht="20.399999999999999" customHeight="1">
      <c r="C8" s="47"/>
      <c r="D8" s="47"/>
      <c r="E8" s="751"/>
      <c r="F8" s="47"/>
      <c r="G8" s="751"/>
      <c r="H8" s="751"/>
      <c r="I8" s="751"/>
      <c r="J8" s="751"/>
      <c r="K8" s="751"/>
      <c r="P8" s="1328" t="str">
        <f>情報!$F$6</f>
        <v>29年度</v>
      </c>
      <c r="Q8" s="1327">
        <f>IF(W8=0,"－",ROUND(Y8/W8,2))</f>
        <v>104356.45</v>
      </c>
      <c r="R8" s="1327">
        <f>IF(X8=0,"－",ROUND(Z8/X8,2))</f>
        <v>57363.24</v>
      </c>
      <c r="S8" s="1328" t="str">
        <f>P8</f>
        <v>29年度</v>
      </c>
      <c r="T8" s="1337">
        <f t="shared" ref="T8:U12" si="0">IF(W8=0,"－",ROUND(AA8/W8,3))</f>
        <v>24569.213</v>
      </c>
      <c r="U8" s="1337">
        <f t="shared" si="0"/>
        <v>20606.665000000001</v>
      </c>
      <c r="W8" s="1607">
        <v>3176635</v>
      </c>
      <c r="X8" s="1607">
        <v>1267006</v>
      </c>
      <c r="Y8" s="1607">
        <v>331502349518</v>
      </c>
      <c r="Z8" s="1607">
        <v>72679571655</v>
      </c>
      <c r="AA8" s="1607">
        <v>78047421421</v>
      </c>
      <c r="AB8" s="1607">
        <v>26108767894</v>
      </c>
    </row>
    <row r="9" spans="2:28" s="22" customFormat="1" ht="20.399999999999999" customHeight="1">
      <c r="D9" s="47"/>
      <c r="K9" s="752"/>
      <c r="P9" s="1328" t="str">
        <f>情報!$F$5</f>
        <v>30年度</v>
      </c>
      <c r="Q9" s="1327">
        <f t="shared" ref="Q9:R12" si="1">IF(W9=0,"－",ROUND(Y9/W9,2))</f>
        <v>106507.28</v>
      </c>
      <c r="R9" s="1327">
        <f t="shared" si="1"/>
        <v>57929.56</v>
      </c>
      <c r="S9" s="1328" t="str">
        <f>P9</f>
        <v>30年度</v>
      </c>
      <c r="T9" s="1337">
        <f t="shared" si="0"/>
        <v>24654.543000000001</v>
      </c>
      <c r="U9" s="1337">
        <f t="shared" si="0"/>
        <v>20834.692999999999</v>
      </c>
      <c r="W9" s="1607">
        <v>3061405</v>
      </c>
      <c r="X9" s="1607">
        <v>1254787</v>
      </c>
      <c r="Y9" s="1607">
        <v>326061934464</v>
      </c>
      <c r="Z9" s="1607">
        <v>72689252781</v>
      </c>
      <c r="AA9" s="1607">
        <v>75477539684</v>
      </c>
      <c r="AB9" s="1607">
        <v>26143101833</v>
      </c>
    </row>
    <row r="10" spans="2:28" s="22" customFormat="1" ht="20.399999999999999" customHeight="1">
      <c r="C10" s="47"/>
      <c r="D10" s="751"/>
      <c r="E10" s="751"/>
      <c r="F10" s="751"/>
      <c r="G10" s="751"/>
      <c r="H10" s="751"/>
      <c r="I10" s="751"/>
      <c r="J10" s="751"/>
      <c r="K10" s="751"/>
      <c r="P10" s="1328" t="str">
        <f>情報!$F$4</f>
        <v>元年度</v>
      </c>
      <c r="Q10" s="1327">
        <f t="shared" si="1"/>
        <v>109785.7</v>
      </c>
      <c r="R10" s="1327">
        <f t="shared" si="1"/>
        <v>58427.31</v>
      </c>
      <c r="S10" s="1328" t="str">
        <f>P10</f>
        <v>元年度</v>
      </c>
      <c r="T10" s="1337">
        <f t="shared" si="0"/>
        <v>24916.293000000001</v>
      </c>
      <c r="U10" s="1337">
        <f t="shared" si="0"/>
        <v>21161.126</v>
      </c>
      <c r="W10" s="1607">
        <v>2947512</v>
      </c>
      <c r="X10" s="1607">
        <v>1249564</v>
      </c>
      <c r="Y10" s="1607">
        <v>323594675389</v>
      </c>
      <c r="Z10" s="1607">
        <v>73008659032</v>
      </c>
      <c r="AA10" s="1607">
        <v>73441074063</v>
      </c>
      <c r="AB10" s="1607">
        <v>26442181774</v>
      </c>
    </row>
    <row r="11" spans="2:28" s="22" customFormat="1" ht="20.399999999999999" customHeight="1">
      <c r="D11" s="47"/>
      <c r="P11" s="1328" t="str">
        <f>情報!$F$3</f>
        <v>2年度</v>
      </c>
      <c r="Q11" s="1327">
        <f t="shared" si="1"/>
        <v>107705.83</v>
      </c>
      <c r="R11" s="1327">
        <f t="shared" si="1"/>
        <v>54850.46</v>
      </c>
      <c r="S11" s="1328" t="str">
        <f>P11</f>
        <v>2年度</v>
      </c>
      <c r="T11" s="1337">
        <f t="shared" si="0"/>
        <v>23748.819</v>
      </c>
      <c r="U11" s="1337">
        <f t="shared" si="0"/>
        <v>21209.953000000001</v>
      </c>
      <c r="W11" s="1607">
        <v>2859114</v>
      </c>
      <c r="X11" s="1607">
        <v>1244575</v>
      </c>
      <c r="Y11" s="1607">
        <v>307943254454</v>
      </c>
      <c r="Z11" s="1607">
        <v>68265513576</v>
      </c>
      <c r="AA11" s="1607">
        <v>67900580602</v>
      </c>
      <c r="AB11" s="1607">
        <v>26397377146</v>
      </c>
    </row>
    <row r="12" spans="2:28" ht="20.399999999999999" customHeight="1">
      <c r="P12" s="1328" t="str">
        <f>情報!$F$2</f>
        <v>3年度</v>
      </c>
      <c r="Q12" s="1327">
        <f t="shared" si="1"/>
        <v>117585.14</v>
      </c>
      <c r="R12" s="1327">
        <f t="shared" si="1"/>
        <v>59472.480000000003</v>
      </c>
      <c r="S12" s="1328" t="str">
        <f>P12</f>
        <v>3年度</v>
      </c>
      <c r="T12" s="1337">
        <f t="shared" si="0"/>
        <v>26179.266</v>
      </c>
      <c r="U12" s="1337">
        <f t="shared" si="0"/>
        <v>22272.201000000001</v>
      </c>
      <c r="W12" s="1607">
        <v>2778580</v>
      </c>
      <c r="X12" s="1607">
        <v>1239305</v>
      </c>
      <c r="Y12" s="1607">
        <v>326719720605</v>
      </c>
      <c r="Z12" s="1607">
        <v>73704535922</v>
      </c>
      <c r="AA12" s="1607">
        <v>72741183554</v>
      </c>
      <c r="AB12" s="1607">
        <v>27602050389</v>
      </c>
    </row>
    <row r="13" spans="2:28" ht="20.399999999999999" customHeight="1">
      <c r="P13" s="1344"/>
      <c r="Q13" s="1342" t="s">
        <v>172</v>
      </c>
      <c r="R13" s="1343"/>
      <c r="S13" s="1344"/>
      <c r="T13" s="1342" t="s">
        <v>30</v>
      </c>
      <c r="U13" s="1343"/>
      <c r="W13" s="2014" t="s">
        <v>819</v>
      </c>
      <c r="X13" s="2014"/>
      <c r="Y13" s="2014" t="s">
        <v>829</v>
      </c>
      <c r="Z13" s="2014"/>
      <c r="AA13" s="2014" t="s">
        <v>759</v>
      </c>
      <c r="AB13" s="2014"/>
    </row>
    <row r="14" spans="2:28" ht="20.399999999999999" customHeight="1">
      <c r="P14" s="1344" t="s">
        <v>491</v>
      </c>
      <c r="Q14" s="1332" t="s">
        <v>562</v>
      </c>
      <c r="R14" s="1332" t="s">
        <v>481</v>
      </c>
      <c r="S14" s="1344" t="s">
        <v>491</v>
      </c>
      <c r="T14" s="1332" t="s">
        <v>562</v>
      </c>
      <c r="U14" s="1332" t="s">
        <v>481</v>
      </c>
      <c r="W14" s="1606" t="s">
        <v>137</v>
      </c>
      <c r="X14" s="1606" t="s">
        <v>155</v>
      </c>
      <c r="Y14" s="1606" t="s">
        <v>137</v>
      </c>
      <c r="Z14" s="1606" t="s">
        <v>155</v>
      </c>
      <c r="AA14" s="1606" t="s">
        <v>137</v>
      </c>
      <c r="AB14" s="1606" t="s">
        <v>155</v>
      </c>
    </row>
    <row r="15" spans="2:28" ht="20.399999999999999" customHeight="1">
      <c r="B15" s="3"/>
      <c r="P15" s="1328" t="str">
        <f>P8</f>
        <v>29年度</v>
      </c>
      <c r="Q15" s="1337">
        <f t="shared" ref="Q15:R19" si="2">IF(W15=0,"－",ROUND(Y15/W15,3))</f>
        <v>113518.518</v>
      </c>
      <c r="R15" s="1337">
        <f t="shared" si="2"/>
        <v>77375.178</v>
      </c>
      <c r="S15" s="1328" t="str">
        <f>P8</f>
        <v>29年度</v>
      </c>
      <c r="T15" s="1337">
        <f t="shared" ref="T15:U19" si="3">IF(W15=0,"－",ROUND(AA15/W15,3))</f>
        <v>242444.18</v>
      </c>
      <c r="U15" s="1337">
        <f t="shared" si="3"/>
        <v>155345.084</v>
      </c>
      <c r="W15" s="1607">
        <f>W8</f>
        <v>3176635</v>
      </c>
      <c r="X15" s="1607">
        <f>X8</f>
        <v>1267006</v>
      </c>
      <c r="Y15" s="1607">
        <v>360606897487</v>
      </c>
      <c r="Z15" s="1607">
        <v>98034814218</v>
      </c>
      <c r="AA15" s="1607">
        <v>770156668426</v>
      </c>
      <c r="AB15" s="1607">
        <v>196823153767</v>
      </c>
    </row>
    <row r="16" spans="2:28" ht="20.399999999999999" customHeight="1">
      <c r="B16" s="3"/>
      <c r="P16" s="1328" t="str">
        <f>P9</f>
        <v>30年度</v>
      </c>
      <c r="Q16" s="1337">
        <f t="shared" si="2"/>
        <v>116339.96</v>
      </c>
      <c r="R16" s="1337">
        <f t="shared" si="2"/>
        <v>77871.122000000003</v>
      </c>
      <c r="S16" s="1328" t="str">
        <f>P9</f>
        <v>30年度</v>
      </c>
      <c r="T16" s="1337">
        <f t="shared" si="3"/>
        <v>247501.78700000001</v>
      </c>
      <c r="U16" s="1337">
        <f t="shared" si="3"/>
        <v>156635.37</v>
      </c>
      <c r="W16" s="1607">
        <f t="shared" ref="W16:X19" si="4">W9</f>
        <v>3061405</v>
      </c>
      <c r="X16" s="1607">
        <f t="shared" si="4"/>
        <v>1254787</v>
      </c>
      <c r="Y16" s="1607">
        <v>356163735545</v>
      </c>
      <c r="Z16" s="1607">
        <v>97711671465</v>
      </c>
      <c r="AA16" s="1607">
        <v>757703209693</v>
      </c>
      <c r="AB16" s="1607">
        <v>196544026079</v>
      </c>
    </row>
    <row r="17" spans="1:28" ht="20.399999999999999" customHeight="1">
      <c r="P17" s="1328" t="str">
        <f>P10</f>
        <v>元年度</v>
      </c>
      <c r="Q17" s="1337">
        <f t="shared" si="2"/>
        <v>119731.473</v>
      </c>
      <c r="R17" s="1337">
        <f t="shared" si="2"/>
        <v>78881.69</v>
      </c>
      <c r="S17" s="1328" t="str">
        <f>P10</f>
        <v>元年度</v>
      </c>
      <c r="T17" s="1337">
        <f t="shared" si="3"/>
        <v>254433.46900000001</v>
      </c>
      <c r="U17" s="1337">
        <f t="shared" si="3"/>
        <v>158470.12299999999</v>
      </c>
      <c r="W17" s="1607">
        <f t="shared" si="4"/>
        <v>2947512</v>
      </c>
      <c r="X17" s="1607">
        <f t="shared" si="4"/>
        <v>1249564</v>
      </c>
      <c r="Y17" s="1607">
        <v>352909953534</v>
      </c>
      <c r="Z17" s="1607">
        <v>98567719489</v>
      </c>
      <c r="AA17" s="1607">
        <v>749945702986</v>
      </c>
      <c r="AB17" s="1607">
        <v>198018560295</v>
      </c>
    </row>
    <row r="18" spans="1:28" ht="20.399999999999999" customHeight="1">
      <c r="P18" s="1328" t="str">
        <f>P11</f>
        <v>2年度</v>
      </c>
      <c r="Q18" s="1337">
        <f t="shared" si="2"/>
        <v>115696.692</v>
      </c>
      <c r="R18" s="1337">
        <f t="shared" si="2"/>
        <v>74701.938999999998</v>
      </c>
      <c r="S18" s="1328" t="str">
        <f>P11</f>
        <v>2年度</v>
      </c>
      <c r="T18" s="1337">
        <f t="shared" si="3"/>
        <v>247151.34400000001</v>
      </c>
      <c r="U18" s="1337">
        <f t="shared" si="3"/>
        <v>150762.353</v>
      </c>
      <c r="W18" s="1607">
        <f t="shared" si="4"/>
        <v>2859114</v>
      </c>
      <c r="X18" s="1607">
        <f t="shared" si="4"/>
        <v>1244575</v>
      </c>
      <c r="Y18" s="1607">
        <v>330790033165</v>
      </c>
      <c r="Z18" s="1607">
        <v>92972165117</v>
      </c>
      <c r="AA18" s="1607">
        <v>706633868221</v>
      </c>
      <c r="AB18" s="1607">
        <v>187635055839</v>
      </c>
    </row>
    <row r="19" spans="1:28" ht="20.399999999999999" customHeight="1">
      <c r="P19" s="1328" t="str">
        <f>P12</f>
        <v>3年度</v>
      </c>
      <c r="Q19" s="1337">
        <f t="shared" si="2"/>
        <v>130061.531</v>
      </c>
      <c r="R19" s="1337">
        <f t="shared" si="2"/>
        <v>83247.043999999994</v>
      </c>
      <c r="S19" s="1328" t="str">
        <f>P12</f>
        <v>3年度</v>
      </c>
      <c r="T19" s="1337">
        <f t="shared" si="3"/>
        <v>273825.93800000002</v>
      </c>
      <c r="U19" s="1337">
        <f t="shared" si="3"/>
        <v>164991.72</v>
      </c>
      <c r="W19" s="1607">
        <f t="shared" si="4"/>
        <v>2778580</v>
      </c>
      <c r="X19" s="1607">
        <f t="shared" si="4"/>
        <v>1239305</v>
      </c>
      <c r="Y19" s="1607">
        <v>361386369325</v>
      </c>
      <c r="Z19" s="1607">
        <v>103168477572</v>
      </c>
      <c r="AA19" s="1607">
        <v>760847273484</v>
      </c>
      <c r="AB19" s="1607">
        <v>204475063883</v>
      </c>
    </row>
    <row r="20" spans="1:28" ht="20.399999999999999" customHeight="1">
      <c r="X20" s="22"/>
      <c r="Y20" s="22"/>
      <c r="Z20" s="22"/>
      <c r="AA20" s="22"/>
      <c r="AB20" s="22"/>
    </row>
    <row r="21" spans="1:28" ht="20.399999999999999" customHeight="1">
      <c r="K21" s="58"/>
      <c r="O21" s="1" t="s">
        <v>235</v>
      </c>
      <c r="P21" s="8" t="s">
        <v>486</v>
      </c>
      <c r="X21" s="22" t="s">
        <v>294</v>
      </c>
      <c r="Y21" s="22"/>
      <c r="Z21" s="22"/>
      <c r="AA21" s="22"/>
      <c r="AB21" s="22"/>
    </row>
    <row r="22" spans="1:28" ht="20.399999999999999" customHeight="1">
      <c r="C22" s="685"/>
      <c r="P22" s="8" t="s">
        <v>483</v>
      </c>
      <c r="Q22" s="1" t="str">
        <f>Q7</f>
        <v>公営</v>
      </c>
      <c r="R22" s="1" t="str">
        <f>R7</f>
        <v>組合</v>
      </c>
      <c r="S22" s="1" t="e">
        <f>#REF!</f>
        <v>#REF!</v>
      </c>
      <c r="X22" s="753" t="s">
        <v>137</v>
      </c>
      <c r="Y22" s="753" t="s">
        <v>490</v>
      </c>
      <c r="Z22" s="753" t="s">
        <v>489</v>
      </c>
      <c r="AA22" s="753" t="s">
        <v>488</v>
      </c>
      <c r="AB22" s="753" t="s">
        <v>457</v>
      </c>
    </row>
    <row r="23" spans="1:28" ht="20.399999999999999" customHeight="1">
      <c r="P23" s="1" t="str">
        <f>"{"&amp;""""&amp;P8&amp;""""&amp;","&amp;""""&amp;P9&amp;""""&amp;","&amp;""""&amp;P10&amp;""""&amp;","&amp;""""&amp;P11&amp;""""&amp;","&amp;""""&amp;P12&amp;""""&amp;"}"</f>
        <v>{"29年度","30年度","元年度","2年度","3年度"}</v>
      </c>
      <c r="Q23" s="1" t="str">
        <f>"{"&amp;ROUND(Q8,3)&amp;","&amp;ROUND(Q9,3)&amp;","&amp;ROUND(Q10,3)&amp;","&amp;ROUND(Q11,3)&amp;","&amp;ROUND(Q12,3)&amp;"}"</f>
        <v>{104356.45,106507.28,109785.7,107705.83,117585.14}</v>
      </c>
      <c r="R23" s="1" t="str">
        <f>"{"&amp;ROUND(R8,3)&amp;","&amp;ROUND(R9,3)&amp;","&amp;ROUND(R10,3)&amp;","&amp;ROUND(R11,3)&amp;","&amp;ROUND(R12,3)&amp;"}"</f>
        <v>{57363.24,57929.56,58427.31,54850.46,59472.48}</v>
      </c>
      <c r="S23" s="1" t="e">
        <f>"{"&amp;ROUND(#REF!,3)&amp;","&amp;ROUND(#REF!,3)&amp;","&amp;ROUND(#REF!,3)&amp;","&amp;ROUND(#REF!,3)&amp;","&amp;ROUND(#REF!,3)&amp;"}"</f>
        <v>#REF!</v>
      </c>
      <c r="X23" s="652" t="s">
        <v>494</v>
      </c>
      <c r="Y23" s="652" t="str">
        <f>FIXED(Q12,0)</f>
        <v>117,585</v>
      </c>
      <c r="Z23" s="652" t="str">
        <f>FIXED(Q19,0)</f>
        <v>130,062</v>
      </c>
      <c r="AA23" s="652" t="str">
        <f>FIXED(T12,0)</f>
        <v>26,179</v>
      </c>
      <c r="AB23" s="652" t="str">
        <f>FIXED(T19,0)</f>
        <v>273,826</v>
      </c>
    </row>
    <row r="24" spans="1:28" ht="20.399999999999999" customHeight="1">
      <c r="P24" s="8" t="s">
        <v>172</v>
      </c>
      <c r="X24" s="652" t="s">
        <v>485</v>
      </c>
      <c r="Y24" s="652">
        <f>ROUND(Q12/Q11*100,1)-100</f>
        <v>9.2000000000000028</v>
      </c>
      <c r="Z24" s="652">
        <f>ROUND(Q19/Q18*100,1)-100</f>
        <v>12.400000000000006</v>
      </c>
      <c r="AA24" s="652">
        <f>ROUND(T12/T11*100,1)-100</f>
        <v>10.200000000000003</v>
      </c>
      <c r="AB24" s="652">
        <f>ROUND(T19/T18*100,1)-100</f>
        <v>10.799999999999997</v>
      </c>
    </row>
    <row r="25" spans="1:28" ht="20.399999999999999" customHeight="1">
      <c r="P25" s="8" t="s">
        <v>483</v>
      </c>
      <c r="Q25" s="1" t="str">
        <f>Q14</f>
        <v>公営</v>
      </c>
      <c r="R25" s="1" t="str">
        <f>R14</f>
        <v>組合</v>
      </c>
      <c r="S25" s="1" t="e">
        <f>#REF!</f>
        <v>#REF!</v>
      </c>
      <c r="X25" s="652"/>
      <c r="Y25" s="674" t="str">
        <f>IF(Y24=0,IF(Q12=Q11,"増減なし",IF(Q12&gt;Q11,"微増","微減")),IF(Y24&lt;0,FIXED(ABS(Y24),1)&amp;"％減",FIXED(ABS(Y24),1)&amp;"％増"))</f>
        <v>9.2％増</v>
      </c>
      <c r="Z25" s="674" t="str">
        <f>IF(Z24=0,IF(R19=R18,"増減なし",IF(R19&gt;R18,"微増","微減")),IF(Z24&lt;0,FIXED(ABS(Z24),1)&amp;"％減",FIXED(ABS(Z24),1)&amp;"％増"))</f>
        <v>12.4％増</v>
      </c>
      <c r="AA25" s="674" t="str">
        <f>IF(AA24=0,IF(T12=T11,"増減なし",IF(T12&gt;T11,"微増","微減")),IF(AA24&lt;0,FIXED(ABS(AA24),1)&amp;"％減",FIXED(ABS(AA24),1)&amp;"％増"))</f>
        <v>10.2％増</v>
      </c>
      <c r="AB25" s="674" t="str">
        <f>IF(AB24=0,IF(T19=T18,"増減なし",IF(T19&gt;T18,"微増","微減")),IF(AB24&lt;0,FIXED(ABS(AB24),1)&amp;"％減",FIXED(ABS(AB24),1)&amp;"％増"))</f>
        <v>10.8％増</v>
      </c>
    </row>
    <row r="26" spans="1:28" ht="20.399999999999999" customHeight="1">
      <c r="B26" s="3"/>
      <c r="K26" s="58"/>
      <c r="P26" s="1" t="str">
        <f>"{"&amp;""""&amp;P15&amp;""""&amp;","&amp;""""&amp;P16&amp;""""&amp;","&amp;""""&amp;P17&amp;""""&amp;","&amp;""""&amp;P18&amp;""""&amp;","&amp;""""&amp;P19&amp;""""&amp;"}"</f>
        <v>{"29年度","30年度","元年度","2年度","3年度"}</v>
      </c>
      <c r="Q26" s="1" t="str">
        <f>"{"&amp;ROUND(Q15,3)&amp;","&amp;ROUND(Q16,3)&amp;","&amp;ROUND(Q17,3)&amp;","&amp;ROUND(Q18,3)&amp;","&amp;ROUND(Q19,3)&amp;"}"</f>
        <v>{113518.518,116339.96,119731.473,115696.692,130061.531}</v>
      </c>
      <c r="R26" s="1" t="str">
        <f>"{"&amp;ROUND(R15,3)&amp;","&amp;ROUND(R16,3)&amp;","&amp;ROUND(R17,3)&amp;","&amp;ROUND(R18,3)&amp;","&amp;ROUND(R19,3)&amp;"}"</f>
        <v>{77375.178,77871.122,78881.69,74701.939,83247.044}</v>
      </c>
      <c r="S26" s="1" t="e">
        <f>"{"&amp;ROUND(#REF!,3)&amp;","&amp;ROUND(#REF!,3)&amp;","&amp;ROUND(#REF!,3)&amp;","&amp;ROUND(#REF!,3)&amp;","&amp;ROUND(#REF!,3)&amp;"}"</f>
        <v>#REF!</v>
      </c>
      <c r="X26" s="652" t="s">
        <v>155</v>
      </c>
      <c r="Y26" s="652" t="s">
        <v>490</v>
      </c>
      <c r="Z26" s="652" t="s">
        <v>489</v>
      </c>
      <c r="AA26" s="652" t="s">
        <v>488</v>
      </c>
      <c r="AB26" s="652" t="s">
        <v>457</v>
      </c>
    </row>
    <row r="27" spans="1:28" ht="20.399999999999999" customHeight="1">
      <c r="K27"/>
      <c r="P27" s="8" t="s">
        <v>484</v>
      </c>
      <c r="X27" s="652" t="s">
        <v>494</v>
      </c>
      <c r="Y27" s="652" t="str">
        <f>FIXED(R12,0)</f>
        <v>59,472</v>
      </c>
      <c r="Z27" s="652" t="str">
        <f>FIXED(R19,0)</f>
        <v>83,247</v>
      </c>
      <c r="AA27" s="652" t="str">
        <f>FIXED(U12,0)</f>
        <v>22,272</v>
      </c>
      <c r="AB27" s="652" t="str">
        <f>FIXED(U19,0)</f>
        <v>164,992</v>
      </c>
    </row>
    <row r="28" spans="1:28" ht="20.399999999999999" customHeight="1">
      <c r="P28" s="8" t="s">
        <v>483</v>
      </c>
      <c r="Q28" s="1" t="str">
        <f>T7</f>
        <v>公営</v>
      </c>
      <c r="R28" s="1" t="str">
        <f>U7</f>
        <v>組合</v>
      </c>
      <c r="S28" s="1" t="e">
        <f>#REF!</f>
        <v>#REF!</v>
      </c>
      <c r="X28" s="652" t="s">
        <v>485</v>
      </c>
      <c r="Y28" s="652">
        <f>ROUND(R12/R11*100,1)-100</f>
        <v>8.4000000000000057</v>
      </c>
      <c r="Z28" s="652">
        <f>ROUND(R19/R18*100,1)-100</f>
        <v>11.400000000000006</v>
      </c>
      <c r="AA28" s="652">
        <f>ROUND(U12/U11*100,1)-100</f>
        <v>5</v>
      </c>
      <c r="AB28" s="652">
        <f>ROUND(U19/U18*100,1)-100</f>
        <v>9.4000000000000057</v>
      </c>
    </row>
    <row r="29" spans="1:28" ht="20.399999999999999" customHeight="1">
      <c r="P29" s="1" t="str">
        <f>"{"&amp;""""&amp;S8&amp;""""&amp;","&amp;""""&amp;S9&amp;""""&amp;","&amp;""""&amp;S10&amp;""""&amp;","&amp;""""&amp;S11&amp;""""&amp;","&amp;""""&amp;S12&amp;""""&amp;"}"</f>
        <v>{"29年度","30年度","元年度","2年度","3年度"}</v>
      </c>
      <c r="Q29" s="1" t="str">
        <f>"{"&amp;ROUND(T8,3)&amp;","&amp;ROUND(T9,3)&amp;","&amp;ROUND(T10,3)&amp;","&amp;ROUND(T11,3)&amp;","&amp;ROUND(T12,3)&amp;"}"</f>
        <v>{24569.213,24654.543,24916.293,23748.819,26179.266}</v>
      </c>
      <c r="R29" s="1" t="str">
        <f>"{"&amp;ROUND(U8,3)&amp;","&amp;ROUND(U9,3)&amp;","&amp;ROUND(U10,3)&amp;","&amp;ROUND(U11,3)&amp;","&amp;ROUND(U12,3)&amp;"}"</f>
        <v>{20606.665,20834.693,21161.126,21209.953,22272.201}</v>
      </c>
      <c r="S29" s="1" t="e">
        <f>"{"&amp;ROUND(#REF!,3)&amp;","&amp;ROUND(#REF!,3)&amp;","&amp;ROUND(#REF!,3)&amp;","&amp;ROUND(#REF!,3)&amp;","&amp;ROUND(#REF!,3)&amp;"}"</f>
        <v>#REF!</v>
      </c>
      <c r="X29" s="652"/>
      <c r="Y29" s="674" t="str">
        <f>IF(Y28=0,IF(R12=R11,"増減なし",IF(R12&gt;R11,"微増","微減")),IF(Y28&lt;0,FIXED(ABS(Y28),1)&amp;"％減",FIXED(ABS(Y28),1)&amp;"％増"))</f>
        <v>8.4％増</v>
      </c>
      <c r="Z29" s="674" t="str">
        <f>IF(Z28=0,IF(R19=R18,"増減なし",IF(R19&gt;R18,"微増","微減")),IF(Z28&lt;0,FIXED(ABS(Z28),1)&amp;"％減",FIXED(ABS(Z28),1)&amp;"％増"))</f>
        <v>11.4％増</v>
      </c>
      <c r="AA29" s="674" t="str">
        <f>IF(AA28=0,IF(U12=U11,"増減なし",IF(U12&gt;U11,"微増","微減")),IF(AA28&lt;0,FIXED(ABS(AA28),1)&amp;"％減",FIXED(ABS(AA28),1)&amp;"％増"))</f>
        <v>5.0％増</v>
      </c>
      <c r="AB29" s="674" t="str">
        <f>IF(AB28=0,IF(U19=U18,"増減なし",IF(U19&gt;U18,"微増","微減")),IF(AB28&lt;0,FIXED(ABS(AB28),1)&amp;"％減",FIXED(ABS(AB28),1)&amp;"％増"))</f>
        <v>9.4％増</v>
      </c>
    </row>
    <row r="30" spans="1:28" ht="20.399999999999999" customHeight="1">
      <c r="A30" s="1" t="s">
        <v>558</v>
      </c>
      <c r="P30" s="8" t="s">
        <v>30</v>
      </c>
    </row>
    <row r="31" spans="1:28" ht="20.399999999999999" customHeight="1">
      <c r="P31" s="8" t="s">
        <v>483</v>
      </c>
      <c r="Q31" s="1" t="str">
        <f>T14</f>
        <v>公営</v>
      </c>
      <c r="R31" s="1" t="str">
        <f>U14</f>
        <v>組合</v>
      </c>
      <c r="S31" s="1" t="e">
        <f>#REF!</f>
        <v>#REF!</v>
      </c>
    </row>
    <row r="32" spans="1:28" ht="20.399999999999999" customHeight="1">
      <c r="P32" s="1" t="str">
        <f>"{"&amp;""""&amp;S15&amp;""""&amp;","&amp;""""&amp;S16&amp;""""&amp;","&amp;""""&amp;S17&amp;""""&amp;","&amp;""""&amp;S18&amp;""""&amp;","&amp;""""&amp;S19&amp;""""&amp;"}"</f>
        <v>{"29年度","30年度","元年度","2年度","3年度"}</v>
      </c>
      <c r="Q32" s="1" t="str">
        <f>"{"&amp;ROUND(T15,3)&amp;","&amp;ROUND(T16,3)&amp;","&amp;ROUND(T17,3)&amp;","&amp;ROUND(T18,3)&amp;","&amp;ROUND(T19,3)&amp;"}"</f>
        <v>{242444.18,247501.787,254433.469,247151.344,273825.938}</v>
      </c>
      <c r="R32" s="1" t="str">
        <f>"{"&amp;ROUND(U15,3)&amp;","&amp;ROUND(U16,3)&amp;","&amp;ROUND(U17,3)&amp;","&amp;ROUND(U18,3)&amp;","&amp;ROUND(U19,3)&amp;"}"</f>
        <v>{155345.084,156635.37,158470.123,150762.353,164991.72}</v>
      </c>
      <c r="S32" s="1" t="e">
        <f>"{"&amp;ROUND(#REF!,3)&amp;","&amp;ROUND(#REF!,3)&amp;","&amp;ROUND(#REF!,3)&amp;","&amp;ROUND(#REF!,3)&amp;","&amp;ROUND(#REF!,3)&amp;"}"</f>
        <v>#REF!</v>
      </c>
    </row>
    <row r="33" ht="20.399999999999999" customHeight="1"/>
    <row r="34" ht="20.399999999999999" customHeight="1"/>
  </sheetData>
  <mergeCells count="6">
    <mergeCell ref="W6:X6"/>
    <mergeCell ref="Y6:Z6"/>
    <mergeCell ref="AA6:AB6"/>
    <mergeCell ref="W13:X13"/>
    <mergeCell ref="Y13:Z13"/>
    <mergeCell ref="AA13:AB13"/>
  </mergeCells>
  <phoneticPr fontId="27"/>
  <printOptions gridLinesSet="0"/>
  <pageMargins left="0.78740157480314965" right="0.98425196850393704" top="0.51181102362204722" bottom="0.59055118110236227" header="0" footer="0.39370078740157483"/>
  <pageSetup paperSize="9" firstPageNumber="35" orientation="portrait" useFirstPageNumber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BO84"/>
  <sheetViews>
    <sheetView showGridLines="0" view="pageBreakPreview" zoomScaleNormal="100" zoomScaleSheetLayoutView="100" workbookViewId="0"/>
  </sheetViews>
  <sheetFormatPr defaultColWidth="9" defaultRowHeight="13.2"/>
  <cols>
    <col min="1" max="1" width="3.33203125" style="22" customWidth="1" collapsed="1"/>
    <col min="2" max="2" width="3" style="22" customWidth="1" collapsed="1"/>
    <col min="3" max="3" width="6.109375" style="3" customWidth="1" collapsed="1"/>
    <col min="4" max="4" width="4.77734375" style="3" customWidth="1" collapsed="1"/>
    <col min="5" max="5" width="8" style="3" customWidth="1" collapsed="1"/>
    <col min="6" max="6" width="4.88671875" style="3" customWidth="1" collapsed="1"/>
    <col min="7" max="7" width="6.88671875" style="3" customWidth="1" collapsed="1"/>
    <col min="8" max="8" width="5.44140625" style="3" customWidth="1" collapsed="1"/>
    <col min="9" max="9" width="8" style="3" customWidth="1" collapsed="1"/>
    <col min="10" max="10" width="5.21875" style="3" customWidth="1" collapsed="1"/>
    <col min="11" max="11" width="4.77734375" style="3" customWidth="1" collapsed="1"/>
    <col min="12" max="12" width="5.33203125" style="3" customWidth="1" collapsed="1"/>
    <col min="13" max="13" width="4.77734375" style="3" customWidth="1" collapsed="1"/>
    <col min="14" max="14" width="4.88671875" style="3" customWidth="1" collapsed="1"/>
    <col min="15" max="15" width="4.77734375" style="3" customWidth="1" collapsed="1"/>
    <col min="16" max="16" width="5.33203125" style="3" customWidth="1" collapsed="1"/>
    <col min="17" max="18" width="4.77734375" style="3" customWidth="1" collapsed="1"/>
    <col min="19" max="19" width="6" style="3" customWidth="1" collapsed="1"/>
    <col min="20" max="20" width="4.88671875" style="3" customWidth="1" collapsed="1"/>
    <col min="21" max="21" width="5.33203125" style="3" customWidth="1" collapsed="1"/>
    <col min="22" max="22" width="5" style="3" customWidth="1" collapsed="1"/>
    <col min="23" max="23" width="5.33203125" style="3" customWidth="1" collapsed="1"/>
    <col min="24" max="24" width="6.21875" style="3" customWidth="1" collapsed="1"/>
    <col min="25" max="25" width="6.109375" style="61" customWidth="1" collapsed="1"/>
    <col min="26" max="26" width="4.77734375" style="3" customWidth="1" collapsed="1"/>
    <col min="27" max="27" width="6.33203125" style="3" customWidth="1" collapsed="1"/>
    <col min="28" max="28" width="5.21875" style="3" customWidth="1" collapsed="1"/>
    <col min="29" max="29" width="6.77734375" style="3" customWidth="1" collapsed="1"/>
    <col min="30" max="30" width="4.88671875" style="3" customWidth="1" collapsed="1"/>
    <col min="31" max="31" width="7.109375" style="3" customWidth="1" collapsed="1"/>
    <col min="32" max="32" width="4.88671875" style="3" customWidth="1" collapsed="1"/>
    <col min="33" max="33" width="6.77734375" style="3" customWidth="1" collapsed="1"/>
    <col min="34" max="34" width="4.88671875" style="3" customWidth="1" collapsed="1"/>
    <col min="35" max="35" width="9" style="3" collapsed="1"/>
    <col min="36" max="67" width="14" style="3" hidden="1" customWidth="1" collapsed="1"/>
    <col min="68" max="16384" width="9" style="3" collapsed="1"/>
  </cols>
  <sheetData>
    <row r="1" spans="1:67" s="22" customFormat="1" ht="24" customHeight="1">
      <c r="A1" s="770" t="s">
        <v>572</v>
      </c>
      <c r="Y1" s="754"/>
    </row>
    <row r="2" spans="1:67" s="605" customFormat="1" ht="25.5" customHeight="1">
      <c r="A2" s="629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755"/>
      <c r="Z2" s="629"/>
      <c r="AA2" s="629"/>
      <c r="AB2" s="629"/>
      <c r="AC2" s="756" t="s">
        <v>169</v>
      </c>
      <c r="AD2" s="756"/>
      <c r="AE2" s="756"/>
      <c r="AF2" s="756"/>
      <c r="AG2" s="756"/>
      <c r="AH2" s="756"/>
    </row>
    <row r="3" spans="1:67" s="45" customFormat="1" ht="24" customHeight="1">
      <c r="A3" s="918" t="s">
        <v>118</v>
      </c>
      <c r="B3" s="920" t="s">
        <v>0</v>
      </c>
      <c r="C3" s="2015" t="s">
        <v>170</v>
      </c>
      <c r="D3" s="2015"/>
      <c r="E3" s="2015"/>
      <c r="F3" s="2015"/>
      <c r="G3" s="2015"/>
      <c r="H3" s="2015"/>
      <c r="I3" s="2015"/>
      <c r="J3" s="2015"/>
      <c r="K3" s="2015" t="s">
        <v>505</v>
      </c>
      <c r="L3" s="2015"/>
      <c r="M3" s="2015"/>
      <c r="N3" s="2015"/>
      <c r="O3" s="2015"/>
      <c r="P3" s="2015"/>
      <c r="Q3" s="2015"/>
      <c r="R3" s="869"/>
      <c r="S3" s="2016" t="s">
        <v>504</v>
      </c>
      <c r="T3" s="2016"/>
      <c r="U3" s="2016"/>
      <c r="V3" s="2016"/>
      <c r="W3" s="2016"/>
      <c r="X3" s="2016"/>
      <c r="Y3" s="2016"/>
      <c r="Z3" s="2016"/>
      <c r="AA3" s="2001" t="s">
        <v>503</v>
      </c>
      <c r="AB3" s="2001"/>
      <c r="AC3" s="2001"/>
      <c r="AD3" s="2001"/>
      <c r="AE3" s="2001"/>
      <c r="AF3" s="2001"/>
      <c r="AG3" s="2001"/>
      <c r="AH3" s="2001"/>
      <c r="AI3" s="864"/>
    </row>
    <row r="4" spans="1:67" s="45" customFormat="1" ht="3" customHeight="1">
      <c r="A4" s="866"/>
      <c r="B4" s="921"/>
      <c r="C4" s="821"/>
      <c r="D4" s="932"/>
      <c r="E4" s="821"/>
      <c r="F4" s="933"/>
      <c r="G4" s="894"/>
      <c r="H4" s="818"/>
      <c r="I4" s="894"/>
      <c r="J4" s="818"/>
      <c r="K4" s="821"/>
      <c r="L4" s="932"/>
      <c r="M4" s="821"/>
      <c r="N4" s="933"/>
      <c r="O4" s="894"/>
      <c r="P4" s="818"/>
      <c r="Q4" s="894"/>
      <c r="R4" s="818"/>
      <c r="S4" s="934"/>
      <c r="T4" s="932"/>
      <c r="U4" s="821"/>
      <c r="V4" s="933"/>
      <c r="W4" s="894"/>
      <c r="X4" s="818"/>
      <c r="Y4" s="870"/>
      <c r="Z4" s="818"/>
      <c r="AA4" s="821"/>
      <c r="AB4" s="932"/>
      <c r="AC4" s="821"/>
      <c r="AD4" s="933"/>
      <c r="AE4" s="894"/>
      <c r="AF4" s="818"/>
      <c r="AG4" s="894"/>
      <c r="AH4" s="818"/>
      <c r="AI4" s="864"/>
    </row>
    <row r="5" spans="1:67" s="45" customFormat="1" ht="13.5" customHeight="1">
      <c r="A5" s="866"/>
      <c r="B5" s="935"/>
      <c r="C5" s="2017" t="s">
        <v>171</v>
      </c>
      <c r="D5" s="2017"/>
      <c r="E5" s="2017" t="s">
        <v>849</v>
      </c>
      <c r="F5" s="2017"/>
      <c r="G5" s="2017" t="s">
        <v>173</v>
      </c>
      <c r="H5" s="2017"/>
      <c r="I5" s="2017" t="s">
        <v>30</v>
      </c>
      <c r="J5" s="2017"/>
      <c r="K5" s="2017" t="s">
        <v>171</v>
      </c>
      <c r="L5" s="2017"/>
      <c r="M5" s="2017" t="s">
        <v>172</v>
      </c>
      <c r="N5" s="2017"/>
      <c r="O5" s="2017" t="s">
        <v>173</v>
      </c>
      <c r="P5" s="2017"/>
      <c r="Q5" s="894" t="s">
        <v>30</v>
      </c>
      <c r="R5" s="818"/>
      <c r="S5" s="2019" t="s">
        <v>171</v>
      </c>
      <c r="T5" s="2019"/>
      <c r="U5" s="2017" t="s">
        <v>172</v>
      </c>
      <c r="V5" s="2017"/>
      <c r="W5" s="2017" t="s">
        <v>173</v>
      </c>
      <c r="X5" s="2017"/>
      <c r="Y5" s="2018" t="s">
        <v>30</v>
      </c>
      <c r="Z5" s="2018"/>
      <c r="AA5" s="2017" t="s">
        <v>171</v>
      </c>
      <c r="AB5" s="2017"/>
      <c r="AC5" s="2017" t="s">
        <v>172</v>
      </c>
      <c r="AD5" s="2017"/>
      <c r="AE5" s="2017" t="s">
        <v>173</v>
      </c>
      <c r="AF5" s="2017"/>
      <c r="AG5" s="2017" t="s">
        <v>30</v>
      </c>
      <c r="AH5" s="2017"/>
      <c r="AI5" s="864"/>
      <c r="AJ5" s="1608"/>
      <c r="AK5" s="1608"/>
      <c r="AL5" s="1970" t="s">
        <v>847</v>
      </c>
      <c r="AM5" s="1970"/>
      <c r="AN5" s="1970"/>
      <c r="AO5" s="1970"/>
      <c r="AP5" s="1970"/>
      <c r="AQ5" s="1970"/>
      <c r="AR5" s="1970"/>
      <c r="AS5" s="1970"/>
      <c r="AT5" s="1970"/>
      <c r="AU5" s="1970" t="s">
        <v>849</v>
      </c>
      <c r="AV5" s="1970"/>
      <c r="AW5" s="1970"/>
      <c r="AX5" s="1970"/>
      <c r="AY5" s="1970"/>
      <c r="AZ5" s="1970"/>
      <c r="BA5" s="1970"/>
      <c r="BB5" s="1970"/>
      <c r="BC5" s="1970"/>
      <c r="BD5" s="1970" t="s">
        <v>850</v>
      </c>
      <c r="BE5" s="1970"/>
      <c r="BF5" s="1970"/>
      <c r="BG5" s="1970"/>
      <c r="BH5" s="1970"/>
      <c r="BI5" s="1970"/>
      <c r="BJ5" s="1970"/>
      <c r="BK5" s="1970"/>
      <c r="BL5" s="1970"/>
      <c r="BM5" s="1970" t="s">
        <v>861</v>
      </c>
      <c r="BN5" s="1970"/>
      <c r="BO5" s="1970"/>
    </row>
    <row r="6" spans="1:67" s="45" customFormat="1" ht="3.75" customHeight="1">
      <c r="A6" s="866"/>
      <c r="B6" s="935"/>
      <c r="C6" s="894"/>
      <c r="D6" s="871"/>
      <c r="E6" s="894"/>
      <c r="F6" s="871"/>
      <c r="G6" s="894"/>
      <c r="H6" s="871"/>
      <c r="I6" s="894"/>
      <c r="J6" s="871"/>
      <c r="K6" s="894"/>
      <c r="L6" s="871"/>
      <c r="M6" s="894"/>
      <c r="N6" s="871"/>
      <c r="O6" s="894"/>
      <c r="P6" s="871"/>
      <c r="Q6" s="894"/>
      <c r="R6" s="871"/>
      <c r="S6" s="817"/>
      <c r="T6" s="871"/>
      <c r="U6" s="894"/>
      <c r="V6" s="871"/>
      <c r="W6" s="894"/>
      <c r="X6" s="871"/>
      <c r="Y6" s="870"/>
      <c r="Z6" s="871"/>
      <c r="AA6" s="894"/>
      <c r="AB6" s="871"/>
      <c r="AC6" s="894"/>
      <c r="AD6" s="871"/>
      <c r="AE6" s="894"/>
      <c r="AF6" s="871"/>
      <c r="AG6" s="894"/>
      <c r="AH6" s="871"/>
      <c r="AI6" s="864"/>
      <c r="AJ6" s="1608"/>
      <c r="AK6" s="1608"/>
      <c r="AL6" s="1609"/>
      <c r="AM6" s="1609"/>
      <c r="AN6" s="1609"/>
      <c r="AO6" s="1609"/>
      <c r="AP6" s="1609"/>
      <c r="AQ6" s="1609"/>
      <c r="AR6" s="1609"/>
      <c r="AS6" s="1609"/>
      <c r="AT6" s="1609"/>
      <c r="AU6" s="1609"/>
      <c r="AV6" s="1609"/>
      <c r="AW6" s="1609"/>
      <c r="AX6" s="1609"/>
      <c r="AY6" s="1609"/>
      <c r="AZ6" s="1609"/>
      <c r="BA6" s="1609"/>
      <c r="BB6" s="1609"/>
      <c r="BC6" s="1609"/>
      <c r="BD6" s="1609"/>
      <c r="BE6" s="1609"/>
      <c r="BF6" s="1609"/>
      <c r="BG6" s="1609"/>
      <c r="BH6" s="1609"/>
      <c r="BI6" s="1609"/>
      <c r="BJ6" s="1609"/>
      <c r="BK6" s="1609"/>
      <c r="BL6" s="1609"/>
      <c r="BM6" s="1610"/>
      <c r="BN6" s="1609"/>
      <c r="BO6" s="1609"/>
    </row>
    <row r="7" spans="1:67" s="45" customFormat="1" ht="14.25" customHeight="1">
      <c r="A7" s="919" t="s">
        <v>119</v>
      </c>
      <c r="B7" s="922" t="s">
        <v>1</v>
      </c>
      <c r="C7" s="872"/>
      <c r="D7" s="936" t="s">
        <v>174</v>
      </c>
      <c r="E7" s="872"/>
      <c r="F7" s="936" t="s">
        <v>174</v>
      </c>
      <c r="G7" s="872"/>
      <c r="H7" s="936" t="s">
        <v>174</v>
      </c>
      <c r="I7" s="872"/>
      <c r="J7" s="936" t="s">
        <v>174</v>
      </c>
      <c r="K7" s="872"/>
      <c r="L7" s="936" t="s">
        <v>174</v>
      </c>
      <c r="M7" s="872"/>
      <c r="N7" s="936" t="s">
        <v>174</v>
      </c>
      <c r="O7" s="872"/>
      <c r="P7" s="936" t="s">
        <v>174</v>
      </c>
      <c r="Q7" s="872"/>
      <c r="R7" s="936" t="s">
        <v>174</v>
      </c>
      <c r="S7" s="874"/>
      <c r="T7" s="936" t="s">
        <v>174</v>
      </c>
      <c r="U7" s="872"/>
      <c r="V7" s="936" t="s">
        <v>174</v>
      </c>
      <c r="W7" s="872"/>
      <c r="X7" s="936" t="s">
        <v>174</v>
      </c>
      <c r="Y7" s="875"/>
      <c r="Z7" s="936" t="s">
        <v>174</v>
      </c>
      <c r="AA7" s="872"/>
      <c r="AB7" s="936" t="s">
        <v>174</v>
      </c>
      <c r="AC7" s="872"/>
      <c r="AD7" s="936" t="s">
        <v>174</v>
      </c>
      <c r="AE7" s="872"/>
      <c r="AF7" s="936" t="s">
        <v>174</v>
      </c>
      <c r="AG7" s="872"/>
      <c r="AH7" s="936" t="s">
        <v>174</v>
      </c>
      <c r="AI7" s="864"/>
      <c r="AJ7" s="1970" t="s">
        <v>846</v>
      </c>
      <c r="AK7" s="1970"/>
      <c r="AL7" s="1970" t="s">
        <v>848</v>
      </c>
      <c r="AM7" s="1970"/>
      <c r="AN7" s="1970"/>
      <c r="AO7" s="1970" t="s">
        <v>851</v>
      </c>
      <c r="AP7" s="1970"/>
      <c r="AQ7" s="1970"/>
      <c r="AR7" s="1970" t="s">
        <v>852</v>
      </c>
      <c r="AS7" s="1970"/>
      <c r="AT7" s="1970"/>
      <c r="AU7" s="1970" t="s">
        <v>848</v>
      </c>
      <c r="AV7" s="1970"/>
      <c r="AW7" s="1970"/>
      <c r="AX7" s="1970" t="s">
        <v>851</v>
      </c>
      <c r="AY7" s="1970"/>
      <c r="AZ7" s="1970"/>
      <c r="BA7" s="1970" t="s">
        <v>852</v>
      </c>
      <c r="BB7" s="1970"/>
      <c r="BC7" s="1970"/>
      <c r="BD7" s="1970" t="s">
        <v>848</v>
      </c>
      <c r="BE7" s="1970"/>
      <c r="BF7" s="1970"/>
      <c r="BG7" s="1970" t="s">
        <v>851</v>
      </c>
      <c r="BH7" s="1970"/>
      <c r="BI7" s="1970"/>
      <c r="BJ7" s="1970" t="s">
        <v>852</v>
      </c>
      <c r="BK7" s="1970"/>
      <c r="BL7" s="1970"/>
      <c r="BM7" s="1610" t="s">
        <v>848</v>
      </c>
      <c r="BN7" s="1610" t="s">
        <v>851</v>
      </c>
      <c r="BO7" s="1610" t="s">
        <v>863</v>
      </c>
    </row>
    <row r="8" spans="1:67" s="51" customFormat="1" ht="13.5" customHeight="1">
      <c r="A8" s="937"/>
      <c r="B8" s="1100"/>
      <c r="C8" s="60"/>
      <c r="D8" s="968" t="s">
        <v>4</v>
      </c>
      <c r="E8" s="60"/>
      <c r="F8" s="968" t="s">
        <v>4</v>
      </c>
      <c r="G8" s="60"/>
      <c r="H8" s="968" t="s">
        <v>4</v>
      </c>
      <c r="I8" s="60"/>
      <c r="J8" s="968" t="s">
        <v>4</v>
      </c>
      <c r="K8" s="969" t="s">
        <v>175</v>
      </c>
      <c r="L8" s="968" t="s">
        <v>4</v>
      </c>
      <c r="M8" s="969" t="s">
        <v>175</v>
      </c>
      <c r="N8" s="968" t="s">
        <v>4</v>
      </c>
      <c r="O8" s="969" t="s">
        <v>175</v>
      </c>
      <c r="P8" s="968" t="s">
        <v>4</v>
      </c>
      <c r="Q8" s="969" t="s">
        <v>175</v>
      </c>
      <c r="R8" s="968" t="s">
        <v>4</v>
      </c>
      <c r="S8" s="970" t="s">
        <v>176</v>
      </c>
      <c r="T8" s="968" t="s">
        <v>4</v>
      </c>
      <c r="U8" s="969" t="s">
        <v>176</v>
      </c>
      <c r="V8" s="968" t="s">
        <v>4</v>
      </c>
      <c r="W8" s="969" t="s">
        <v>176</v>
      </c>
      <c r="X8" s="968" t="s">
        <v>4</v>
      </c>
      <c r="Y8" s="971" t="s">
        <v>176</v>
      </c>
      <c r="Z8" s="968" t="s">
        <v>4</v>
      </c>
      <c r="AA8" s="969" t="s">
        <v>176</v>
      </c>
      <c r="AB8" s="968" t="s">
        <v>4</v>
      </c>
      <c r="AC8" s="969" t="s">
        <v>176</v>
      </c>
      <c r="AD8" s="968" t="s">
        <v>4</v>
      </c>
      <c r="AE8" s="969" t="s">
        <v>176</v>
      </c>
      <c r="AF8" s="968" t="s">
        <v>4</v>
      </c>
      <c r="AG8" s="969" t="s">
        <v>176</v>
      </c>
      <c r="AH8" s="968" t="s">
        <v>4</v>
      </c>
      <c r="AJ8" s="1374" t="s">
        <v>782</v>
      </c>
      <c r="AK8" s="1374" t="s">
        <v>832</v>
      </c>
      <c r="AL8" s="1374" t="s">
        <v>815</v>
      </c>
      <c r="AM8" s="1374" t="s">
        <v>830</v>
      </c>
      <c r="AN8" s="1374" t="s">
        <v>831</v>
      </c>
      <c r="AO8" s="1374" t="s">
        <v>838</v>
      </c>
      <c r="AP8" s="1374" t="s">
        <v>837</v>
      </c>
      <c r="AQ8" s="1374" t="s">
        <v>839</v>
      </c>
      <c r="AR8" s="1374" t="s">
        <v>853</v>
      </c>
      <c r="AS8" s="1374" t="s">
        <v>854</v>
      </c>
      <c r="AT8" s="1374" t="s">
        <v>855</v>
      </c>
      <c r="AU8" s="1374" t="s">
        <v>817</v>
      </c>
      <c r="AV8" s="1374" t="s">
        <v>833</v>
      </c>
      <c r="AW8" s="1374" t="s">
        <v>834</v>
      </c>
      <c r="AX8" s="1374" t="s">
        <v>840</v>
      </c>
      <c r="AY8" s="1374" t="s">
        <v>841</v>
      </c>
      <c r="AZ8" s="1374" t="s">
        <v>842</v>
      </c>
      <c r="BA8" s="1374" t="s">
        <v>856</v>
      </c>
      <c r="BB8" s="1374" t="s">
        <v>857</v>
      </c>
      <c r="BC8" s="1374" t="s">
        <v>858</v>
      </c>
      <c r="BD8" s="1374" t="s">
        <v>816</v>
      </c>
      <c r="BE8" s="1374" t="s">
        <v>835</v>
      </c>
      <c r="BF8" s="1374" t="s">
        <v>836</v>
      </c>
      <c r="BG8" s="1374" t="s">
        <v>843</v>
      </c>
      <c r="BH8" s="1374" t="s">
        <v>844</v>
      </c>
      <c r="BI8" s="1374" t="s">
        <v>845</v>
      </c>
      <c r="BJ8" s="1374" t="s">
        <v>859</v>
      </c>
      <c r="BK8" s="1374" t="s">
        <v>1097</v>
      </c>
      <c r="BL8" s="1374" t="s">
        <v>860</v>
      </c>
      <c r="BM8" s="1374" t="s">
        <v>818</v>
      </c>
      <c r="BN8" s="1374" t="s">
        <v>862</v>
      </c>
      <c r="BO8" s="1374" t="s">
        <v>864</v>
      </c>
    </row>
    <row r="9" spans="1:67" s="1304" customFormat="1" ht="12" hidden="1">
      <c r="A9" s="1345"/>
      <c r="B9" s="1346">
        <f>情報!$B$7</f>
        <v>28</v>
      </c>
      <c r="C9" s="1350">
        <f t="shared" ref="C9:C14" si="0">IF(ISERR((AL9+AM9+AN9)/(AJ9+AK9)*100),"－",ROUND((AL9+AM9+AN9)/(AJ9+AK9)*100,3))</f>
        <v>18.13</v>
      </c>
      <c r="D9" s="1349" t="s">
        <v>433</v>
      </c>
      <c r="E9" s="1351">
        <f t="shared" ref="E9:E14" si="1">IF(ISERR((AU9+AV9+AW9)/(AJ9+AK9)*100),"－",ROUND((AU9+AV9+AW9)/(AJ9+AK9)*100,3))</f>
        <v>785.99</v>
      </c>
      <c r="F9" s="1349" t="s">
        <v>433</v>
      </c>
      <c r="G9" s="1351">
        <f t="shared" ref="G9:G14" si="2">IF(ISERR((BD9+BE9+BF9)/(AJ9+AK9)*100),"－",ROUND((BD9+BE9+BF9)/(AJ9+AK9)*100,3))</f>
        <v>198.059</v>
      </c>
      <c r="H9" s="1349" t="s">
        <v>433</v>
      </c>
      <c r="I9" s="1351">
        <f t="shared" ref="I9:I14" si="3">IF(ISERR((AL9+AM9+AN9+AU9+AV9+AW9+BD9+BE9+BF9)/(AJ9+AK9)*100),"－",ROUND((AL9+AM9+AN9+AU9+AV9+AW9+BD9+BE9+BF9)/(AJ9+AK9)*100,3))</f>
        <v>1002.179</v>
      </c>
      <c r="J9" s="1349" t="s">
        <v>433</v>
      </c>
      <c r="K9" s="1352">
        <f t="shared" ref="K9:K14" si="4">IF(ISERR((AO9+AP9+AQ9)/(AL9+AM9+AN9)),"－",ROUND((AO9+AP9+AQ9)/(AL9+AM9+AN9),2))</f>
        <v>14.45</v>
      </c>
      <c r="L9" s="1349" t="s">
        <v>433</v>
      </c>
      <c r="M9" s="1352">
        <f t="shared" ref="M9:M14" si="5">IF(ISERR((AX9+AY9+AZ9)/(AU9+AV9+AW9)),"－",ROUND((AX9+AY9+AZ9)/(AU9+AV9+AW9),2))</f>
        <v>1.58</v>
      </c>
      <c r="N9" s="1349" t="s">
        <v>433</v>
      </c>
      <c r="O9" s="1352">
        <f t="shared" ref="O9:O14" si="6">IF(ISERR((BG9+BH9+BI9)/(BD9+BE9+BF9)),"－",ROUND((BG9+BH9+BI9)/(BD9+BE9+BF9),2))</f>
        <v>1.89</v>
      </c>
      <c r="P9" s="1349" t="s">
        <v>433</v>
      </c>
      <c r="Q9" s="1352">
        <f t="shared" ref="Q9:Q14" si="7">IF(ISERR((AO9+AP9+AQ9+AX9+AY9+AZ9+BG9+BH9+BI9)/(AL9+AM9+AN9+AU9+AV9+AW9+BD9+BE9+BF9)),"－",ROUND((AO9+AP9+AQ9+AX9+AY9+AZ9+BG9+BH9+BI9)/(AL9+AM9+AN9+AU9+AV9+AW9+BD9+BE9+BF9),2))</f>
        <v>1.88</v>
      </c>
      <c r="R9" s="1349" t="s">
        <v>433</v>
      </c>
      <c r="S9" s="1353">
        <f t="shared" ref="S9:S14" si="8">IF(ISERR((AR9+AS9+AT9)/(AO9+AP9+AQ9)),"－",ROUND((AR9+AS9+AT9)/(AO9+AP9+AQ9),0))</f>
        <v>38657</v>
      </c>
      <c r="T9" s="1349" t="s">
        <v>433</v>
      </c>
      <c r="U9" s="1354">
        <f t="shared" ref="U9:U14" si="9">IF(ISERR((BA9+BB9+BC9)/(AX9+AY9+AZ9)),"－",ROUND((BA9+BB9+BC9)/(AX9+AY9+AZ9),0))</f>
        <v>8951</v>
      </c>
      <c r="V9" s="1349" t="s">
        <v>433</v>
      </c>
      <c r="W9" s="1354">
        <f t="shared" ref="W9:W14" si="10">IF(ISERR((BJ9+BK9+BL9)/(BG9+BH9+BI9)),"－",ROUND((BJ9+BK9+BL9)/(BG9+BH9+BI9),0))</f>
        <v>6560</v>
      </c>
      <c r="X9" s="1349" t="s">
        <v>433</v>
      </c>
      <c r="Y9" s="1354">
        <f>IF(ISERR((AR9+AS9+AT9+BA9+BB9+BC9+BJ9+BK9+BL9)/(AO9+AP9+AQ9+AX9+AY9+AZ9+BG9+BH9+BI9)),"－",ROUND((AR9+AS9+AT9+BA9+BB9+BC9+BJ9+BK9+BL9)/(AO9+AP9+AQ9+AX9+AY9+AZ9+BG9+BH9+BI9),0))</f>
        <v>12618</v>
      </c>
      <c r="Z9" s="1349" t="s">
        <v>433</v>
      </c>
      <c r="AA9" s="1354">
        <f t="shared" ref="AA9:AA14" si="11">IF(ISERR((AR9+AS9+AT9)/(AJ9+AK9)),"－",ROUND((AR9+AS9+AT9)/(AJ9+AK9),0))</f>
        <v>101299</v>
      </c>
      <c r="AB9" s="1349" t="s">
        <v>433</v>
      </c>
      <c r="AC9" s="1354">
        <f t="shared" ref="AC9:AC14" si="12">IF(ISERR((BA9+BB9+BC9)/(AJ9+AK9)),"－",ROUND((BA9+BB9+BC9)/(AJ9+AK9),0))</f>
        <v>111276</v>
      </c>
      <c r="AD9" s="1349" t="s">
        <v>433</v>
      </c>
      <c r="AE9" s="1354">
        <f t="shared" ref="AE9:AE14" si="13">IF(ISERR((BJ9+BK9+BL9)/(AJ9+AK9)),"－",ROUND((BJ9+BK9+BL9)/(AJ9+AK9),0))</f>
        <v>24525</v>
      </c>
      <c r="AF9" s="1349" t="s">
        <v>433</v>
      </c>
      <c r="AG9" s="1354">
        <f t="shared" ref="AG9:AG14" si="14">IF(ISERR((AR9+AS9+AT9+BA9+BB9+BC9+BJ9+BK9+BL9)/(AJ9+AK9)),"－",ROUND((AR9+AS9+AT9+BA9+BB9+BC9+BJ9+BK9+BL9)/(AJ9+AK9),0))</f>
        <v>237099</v>
      </c>
      <c r="AH9" s="1349" t="s">
        <v>433</v>
      </c>
      <c r="AI9" s="1347"/>
      <c r="AJ9" s="279">
        <v>3334962</v>
      </c>
      <c r="AK9" s="279">
        <v>54599</v>
      </c>
      <c r="AL9" s="279">
        <v>603201</v>
      </c>
      <c r="AM9" s="279">
        <v>9204</v>
      </c>
      <c r="AN9" s="279">
        <v>2106</v>
      </c>
      <c r="AO9" s="279">
        <v>8731173</v>
      </c>
      <c r="AP9" s="279">
        <v>120368</v>
      </c>
      <c r="AQ9" s="279">
        <v>30700</v>
      </c>
      <c r="AR9" s="279">
        <v>336537708138</v>
      </c>
      <c r="AS9" s="279">
        <v>5626454799</v>
      </c>
      <c r="AT9" s="279">
        <v>1193970674</v>
      </c>
      <c r="AU9" s="279">
        <v>26119189</v>
      </c>
      <c r="AV9" s="279">
        <v>387082</v>
      </c>
      <c r="AW9" s="279">
        <v>135354</v>
      </c>
      <c r="AX9" s="279">
        <v>41305456</v>
      </c>
      <c r="AY9" s="279">
        <v>619812</v>
      </c>
      <c r="AZ9" s="279">
        <v>214626</v>
      </c>
      <c r="BA9" s="279">
        <v>368708256927</v>
      </c>
      <c r="BB9" s="279">
        <v>6631550817</v>
      </c>
      <c r="BC9" s="279">
        <v>1835852510</v>
      </c>
      <c r="BD9" s="279">
        <v>6575721</v>
      </c>
      <c r="BE9" s="279">
        <v>97312</v>
      </c>
      <c r="BF9" s="279">
        <v>40309</v>
      </c>
      <c r="BG9" s="279">
        <v>12411189</v>
      </c>
      <c r="BH9" s="279">
        <v>185741</v>
      </c>
      <c r="BI9" s="279">
        <v>74233</v>
      </c>
      <c r="BJ9" s="279">
        <v>81465748589</v>
      </c>
      <c r="BK9" s="279">
        <v>1196172560</v>
      </c>
      <c r="BL9" s="279">
        <v>466952450</v>
      </c>
      <c r="BM9" s="279">
        <v>33298111</v>
      </c>
      <c r="BN9" s="279">
        <v>62447818</v>
      </c>
      <c r="BO9" s="279">
        <v>786711713654</v>
      </c>
    </row>
    <row r="10" spans="1:67" s="8" customFormat="1" ht="33" customHeight="1">
      <c r="A10" s="2020" t="s">
        <v>548</v>
      </c>
      <c r="B10" s="1101">
        <f>情報!$B$6</f>
        <v>29</v>
      </c>
      <c r="C10" s="1355">
        <f t="shared" si="0"/>
        <v>18.303000000000001</v>
      </c>
      <c r="D10" s="1356">
        <f>IF(ISERR(ROUND(C10/C9*100-100,1)),"－",ROUND(C10/C9*100-100,1))</f>
        <v>1</v>
      </c>
      <c r="E10" s="1357">
        <f t="shared" si="1"/>
        <v>786.75699999999995</v>
      </c>
      <c r="F10" s="1356">
        <f>IF(ISERR(ROUND(E10/E9*100-100,1)),"－",ROUND(E10/E9*100-100,1))</f>
        <v>0.1</v>
      </c>
      <c r="G10" s="1357">
        <f t="shared" si="2"/>
        <v>199.98699999999999</v>
      </c>
      <c r="H10" s="1356">
        <f>IF(ISERR(ROUND(G10/G9*100-100,1)),"－",ROUND(G10/G9*100-100,1))</f>
        <v>1</v>
      </c>
      <c r="I10" s="1357">
        <f t="shared" si="3"/>
        <v>1005.047</v>
      </c>
      <c r="J10" s="1356">
        <f>IF(ISERR(ROUND(I10/I9*100-100,1)),"－",ROUND(I10/I9*100-100,1))</f>
        <v>0.3</v>
      </c>
      <c r="K10" s="1358">
        <f t="shared" si="4"/>
        <v>14.51</v>
      </c>
      <c r="L10" s="1356">
        <f>IF(ISERR(ROUND(K10/K9*100-100,1)),"－",ROUND(K10/K9*100-100,1))</f>
        <v>0.4</v>
      </c>
      <c r="M10" s="1358">
        <f t="shared" si="5"/>
        <v>1.57</v>
      </c>
      <c r="N10" s="1356">
        <f>IF(ISERR(ROUND(M10/M9*100-100,1)),"－",ROUND(M10/M9*100-100,1))</f>
        <v>-0.6</v>
      </c>
      <c r="O10" s="1358">
        <f t="shared" si="6"/>
        <v>1.85</v>
      </c>
      <c r="P10" s="1356">
        <f>IF(ISERR(ROUND(O10/O9*100-100,1)),"－",ROUND(O10/O9*100-100,1))</f>
        <v>-2.1</v>
      </c>
      <c r="Q10" s="1358">
        <f t="shared" si="7"/>
        <v>1.86</v>
      </c>
      <c r="R10" s="1356">
        <f>IF(ISERR(ROUND(Q10/Q9*100-100,1)),"－",ROUND(Q10/Q9*100-100,1))</f>
        <v>-1.1000000000000001</v>
      </c>
      <c r="S10" s="1359">
        <f t="shared" si="8"/>
        <v>39393</v>
      </c>
      <c r="T10" s="1356">
        <f>IF(ISERR(ROUND(S10/S9*100-100,1)),"－",ROUND(S10/S9*100-100,1))</f>
        <v>1.9</v>
      </c>
      <c r="U10" s="1360">
        <f t="shared" si="9"/>
        <v>9223</v>
      </c>
      <c r="V10" s="1356">
        <f>IF(ISERR(ROUND(U10/U9*100-100,1)),"－",ROUND(U10/U9*100-100,1))</f>
        <v>3</v>
      </c>
      <c r="W10" s="1360">
        <f t="shared" si="10"/>
        <v>6657</v>
      </c>
      <c r="X10" s="1356">
        <f>IF(ISERR(ROUND(W10/W9*100-100,1)),"－",ROUND(W10/W9*100-100,1))</f>
        <v>1.5</v>
      </c>
      <c r="Y10" s="1360">
        <f>IF(ISERR((AR10+AS10+AT10+BA10+BB10+BC10+BJ10+BK10+BL10)/(AO10+AP10+AQ10+AX10+AY10+AZ10+BG10+BH10+BI10)),"－",ROUND((AR10+AS10+AT10+BA10+BB10+BC10+BJ10+BK10+BL10)/(AO10+AP10+AQ10+AX10+AY10+AZ10+BG10+BH10+BI10),0))</f>
        <v>12999</v>
      </c>
      <c r="Z10" s="1356">
        <f>IF(ISERR(ROUND(Y10/Y9*100-100,1)),"－",ROUND(Y10/Y9*100-100,1))</f>
        <v>3</v>
      </c>
      <c r="AA10" s="1360">
        <f t="shared" si="11"/>
        <v>104625</v>
      </c>
      <c r="AB10" s="1356">
        <f>IF(ISERR(ROUND(AA10/AA9*100-100,1)),"－",ROUND(AA10/AA9*100-100,1))</f>
        <v>3.3</v>
      </c>
      <c r="AC10" s="1360">
        <f t="shared" si="12"/>
        <v>113906</v>
      </c>
      <c r="AD10" s="1356">
        <f>IF(ISERR(ROUND(AC10/AC9*100-100,1)),"－",ROUND(AC10/AC9*100-100,1))</f>
        <v>2.4</v>
      </c>
      <c r="AE10" s="1360">
        <f t="shared" si="13"/>
        <v>24626</v>
      </c>
      <c r="AF10" s="1356">
        <f>IF(ISERR(ROUND(AE10/AE9*100-100,1)),"－",ROUND(AE10/AE9*100-100,1))</f>
        <v>0.4</v>
      </c>
      <c r="AG10" s="1360">
        <f t="shared" si="14"/>
        <v>243157</v>
      </c>
      <c r="AH10" s="1356">
        <f>IF(ISERR(ROUND(AG10/AG9*100-100,1)),"－",ROUND(AG10/AG9*100-100,1))</f>
        <v>2.6</v>
      </c>
      <c r="AI10" s="59"/>
      <c r="AJ10" s="1607">
        <v>3176635</v>
      </c>
      <c r="AK10" s="1607">
        <v>28292</v>
      </c>
      <c r="AL10" s="1607">
        <v>580389</v>
      </c>
      <c r="AM10" s="1607">
        <v>5076</v>
      </c>
      <c r="AN10" s="1607">
        <v>1120</v>
      </c>
      <c r="AO10" s="1607">
        <v>8428357</v>
      </c>
      <c r="AP10" s="1607">
        <v>67441</v>
      </c>
      <c r="AQ10" s="1607">
        <v>16351</v>
      </c>
      <c r="AR10" s="1607">
        <v>331502349518</v>
      </c>
      <c r="AS10" s="1607">
        <v>3158626083</v>
      </c>
      <c r="AT10" s="1607">
        <v>654390399</v>
      </c>
      <c r="AU10" s="1607">
        <v>24937086</v>
      </c>
      <c r="AV10" s="1607">
        <v>209566</v>
      </c>
      <c r="AW10" s="1607">
        <v>68342</v>
      </c>
      <c r="AX10" s="1607">
        <v>39140502</v>
      </c>
      <c r="AY10" s="1607">
        <v>333515</v>
      </c>
      <c r="AZ10" s="1607">
        <v>108287</v>
      </c>
      <c r="BA10" s="1607">
        <v>360606897487</v>
      </c>
      <c r="BB10" s="1607">
        <v>3522924001</v>
      </c>
      <c r="BC10" s="1607">
        <v>931906186</v>
      </c>
      <c r="BD10" s="1607">
        <v>6336520</v>
      </c>
      <c r="BE10" s="1607">
        <v>52729</v>
      </c>
      <c r="BF10" s="1607">
        <v>20196</v>
      </c>
      <c r="BG10" s="1607">
        <v>11721197</v>
      </c>
      <c r="BH10" s="1607">
        <v>98371</v>
      </c>
      <c r="BI10" s="1607">
        <v>37123</v>
      </c>
      <c r="BJ10" s="1607">
        <v>78047421421</v>
      </c>
      <c r="BK10" s="1607">
        <v>639988520</v>
      </c>
      <c r="BL10" s="1607">
        <v>236977450</v>
      </c>
      <c r="BM10" s="1607">
        <v>31853995</v>
      </c>
      <c r="BN10" s="1607">
        <v>59290056</v>
      </c>
      <c r="BO10" s="1607">
        <v>770156668426</v>
      </c>
    </row>
    <row r="11" spans="1:67" s="8" customFormat="1" ht="33" customHeight="1">
      <c r="A11" s="2020"/>
      <c r="B11" s="1101">
        <f>情報!$B$5</f>
        <v>30</v>
      </c>
      <c r="C11" s="1355">
        <f t="shared" si="0"/>
        <v>18.364000000000001</v>
      </c>
      <c r="D11" s="1356">
        <f>IF(ISERR(ROUND(C11/C10*100-100,1)),"－",ROUND(C11/C10*100-100,1))</f>
        <v>0.3</v>
      </c>
      <c r="E11" s="1357">
        <f t="shared" si="1"/>
        <v>793.23500000000001</v>
      </c>
      <c r="F11" s="1356">
        <f>IF(ISERR(ROUND(E11/E10*100-100,1)),"－",ROUND(E11/E10*100-100,1))</f>
        <v>0.8</v>
      </c>
      <c r="G11" s="1357">
        <f t="shared" si="2"/>
        <v>200.958</v>
      </c>
      <c r="H11" s="1356">
        <f>IF(ISERR(ROUND(G11/G10*100-100,1)),"－",ROUND(G11/G10*100-100,1))</f>
        <v>0.5</v>
      </c>
      <c r="I11" s="1357">
        <f t="shared" si="3"/>
        <v>1012.556</v>
      </c>
      <c r="J11" s="1356">
        <f>IF(ISERR(ROUND(I11/I10*100-100,1)),"－",ROUND(I11/I10*100-100,1))</f>
        <v>0.7</v>
      </c>
      <c r="K11" s="1358">
        <f t="shared" si="4"/>
        <v>14.53</v>
      </c>
      <c r="L11" s="1356">
        <f>IF(ISERR(ROUND(K11/K10*100-100,1)),"－",ROUND(K11/K10*100-100,1))</f>
        <v>0.1</v>
      </c>
      <c r="M11" s="1358">
        <f t="shared" si="5"/>
        <v>1.55</v>
      </c>
      <c r="N11" s="1356">
        <f>IF(ISERR(ROUND(M11/M10*100-100,1)),"－",ROUND(M11/M10*100-100,1))</f>
        <v>-1.3</v>
      </c>
      <c r="O11" s="1358">
        <f t="shared" si="6"/>
        <v>1.81</v>
      </c>
      <c r="P11" s="1356">
        <f>IF(ISERR(ROUND(O11/O10*100-100,1)),"－",ROUND(O11/O10*100-100,1))</f>
        <v>-2.2000000000000002</v>
      </c>
      <c r="Q11" s="1358">
        <f t="shared" si="7"/>
        <v>1.84</v>
      </c>
      <c r="R11" s="1356">
        <f>IF(ISERR(ROUND(Q11/Q10*100-100,1)),"－",ROUND(Q11/Q10*100-100,1))</f>
        <v>-1.1000000000000001</v>
      </c>
      <c r="S11" s="1359">
        <f t="shared" si="8"/>
        <v>39967</v>
      </c>
      <c r="T11" s="1356">
        <f>IF(ISERR(ROUND(S11/S10*100-100,1)),"－",ROUND(S11/S10*100-100,1))</f>
        <v>1.5</v>
      </c>
      <c r="U11" s="1360">
        <f t="shared" si="9"/>
        <v>9466</v>
      </c>
      <c r="V11" s="1356">
        <f>IF(ISERR(ROUND(U11/U10*100-100,1)),"－",ROUND(U11/U10*100-100,1))</f>
        <v>2.6</v>
      </c>
      <c r="W11" s="1360">
        <f t="shared" si="10"/>
        <v>6789</v>
      </c>
      <c r="X11" s="1356">
        <f>IF(ISERR(ROUND(W11/W10*100-100,1)),"－",ROUND(W11/W10*100-100,1))</f>
        <v>2</v>
      </c>
      <c r="Y11" s="1360">
        <f t="shared" ref="Y11:Y14" si="15">IF(ISERR((AR11+AS11+AT11+BA11+BB11+BC11+BJ11+BK11+BL11)/(AO11+AP11+AQ11+AX11+AY11+AZ11+BG11+BH11+BI11)),"－",ROUND((AR11+AS11+AT11+BA11+BB11+BC11+BJ11+BK11+BL11)/(AO11+AP11+AQ11+AX11+AY11+AZ11+BG11+BH11+BI11),0))</f>
        <v>13315</v>
      </c>
      <c r="Z11" s="1356">
        <f>IF(ISERR(ROUND(Y11/Y10*100-100,1)),"－",ROUND(Y11/Y10*100-100,1))</f>
        <v>2.4</v>
      </c>
      <c r="AA11" s="1360">
        <f t="shared" si="11"/>
        <v>106620</v>
      </c>
      <c r="AB11" s="1356">
        <f>IF(ISERR(ROUND(AA11/AA10*100-100,1)),"－",ROUND(AA11/AA10*100-100,1))</f>
        <v>1.9</v>
      </c>
      <c r="AC11" s="1360">
        <f t="shared" si="12"/>
        <v>116494</v>
      </c>
      <c r="AD11" s="1356">
        <f>IF(ISERR(ROUND(AC11/AC10*100-100,1)),"－",ROUND(AC11/AC10*100-100,1))</f>
        <v>2.2999999999999998</v>
      </c>
      <c r="AE11" s="1360">
        <f t="shared" si="13"/>
        <v>24683</v>
      </c>
      <c r="AF11" s="1356">
        <f>IF(ISERR(ROUND(AE11/AE10*100-100,1)),"－",ROUND(AE11/AE10*100-100,1))</f>
        <v>0.2</v>
      </c>
      <c r="AG11" s="1360">
        <f t="shared" si="14"/>
        <v>247798</v>
      </c>
      <c r="AH11" s="1356">
        <f>IF(ISERR(ROUND(AG11/AG10*100-100,1)),"－",ROUND(AG11/AG10*100-100,1))</f>
        <v>1.9</v>
      </c>
      <c r="AI11" s="59"/>
      <c r="AJ11" s="1607">
        <v>3061405</v>
      </c>
      <c r="AK11" s="1607">
        <v>10850</v>
      </c>
      <c r="AL11" s="1607">
        <v>561714</v>
      </c>
      <c r="AM11" s="1607">
        <v>2037</v>
      </c>
      <c r="AN11" s="1607">
        <v>427</v>
      </c>
      <c r="AO11" s="1607">
        <v>8161824</v>
      </c>
      <c r="AP11" s="1607">
        <v>27644</v>
      </c>
      <c r="AQ11" s="1607">
        <v>6298</v>
      </c>
      <c r="AR11" s="1607">
        <v>326061934464</v>
      </c>
      <c r="AS11" s="1607">
        <v>1274486354</v>
      </c>
      <c r="AT11" s="1607">
        <v>227167980</v>
      </c>
      <c r="AU11" s="1607">
        <v>24259116</v>
      </c>
      <c r="AV11" s="1607">
        <v>84258</v>
      </c>
      <c r="AW11" s="1607">
        <v>26825</v>
      </c>
      <c r="AX11" s="1607">
        <v>37634230</v>
      </c>
      <c r="AY11" s="1607">
        <v>133113</v>
      </c>
      <c r="AZ11" s="1607">
        <v>41605</v>
      </c>
      <c r="BA11" s="1607">
        <v>356163735545</v>
      </c>
      <c r="BB11" s="1607">
        <v>1384245165</v>
      </c>
      <c r="BC11" s="1607">
        <v>352201239</v>
      </c>
      <c r="BD11" s="1607">
        <v>6143915</v>
      </c>
      <c r="BE11" s="1607">
        <v>21597</v>
      </c>
      <c r="BF11" s="1607">
        <v>8417</v>
      </c>
      <c r="BG11" s="1607">
        <v>11115150</v>
      </c>
      <c r="BH11" s="1607">
        <v>39609</v>
      </c>
      <c r="BI11" s="1607">
        <v>15024</v>
      </c>
      <c r="BJ11" s="1607">
        <v>75477539684</v>
      </c>
      <c r="BK11" s="1607">
        <v>258651771</v>
      </c>
      <c r="BL11" s="1607">
        <v>97651230</v>
      </c>
      <c r="BM11" s="1607">
        <v>30964745</v>
      </c>
      <c r="BN11" s="1607">
        <v>56911204</v>
      </c>
      <c r="BO11" s="1607">
        <v>757703209693</v>
      </c>
    </row>
    <row r="12" spans="1:67" s="8" customFormat="1" ht="33" customHeight="1">
      <c r="A12" s="2020"/>
      <c r="B12" s="1101" t="str">
        <f>情報!$B$4</f>
        <v>元</v>
      </c>
      <c r="C12" s="1355">
        <f t="shared" si="0"/>
        <v>18.445</v>
      </c>
      <c r="D12" s="1356">
        <f t="shared" ref="D12:F14" si="16">IF(ISERR(ROUND(C12/C11*100-100,1)),"－",ROUND(C12/C11*100-100,1))</f>
        <v>0.4</v>
      </c>
      <c r="E12" s="1357">
        <f t="shared" si="1"/>
        <v>795.61300000000006</v>
      </c>
      <c r="F12" s="1356">
        <f t="shared" si="16"/>
        <v>0.3</v>
      </c>
      <c r="G12" s="1357">
        <f t="shared" si="2"/>
        <v>205.45699999999999</v>
      </c>
      <c r="H12" s="1356">
        <f t="shared" ref="H12:H14" si="17">IF(ISERR(ROUND(G12/G11*100-100,1)),"－",ROUND(G12/G11*100-100,1))</f>
        <v>2.2000000000000002</v>
      </c>
      <c r="I12" s="1357">
        <f t="shared" si="3"/>
        <v>1019.516</v>
      </c>
      <c r="J12" s="1356">
        <f t="shared" ref="J12:J14" si="18">IF(ISERR(ROUND(I12/I11*100-100,1)),"－",ROUND(I12/I11*100-100,1))</f>
        <v>0.7</v>
      </c>
      <c r="K12" s="1358">
        <f t="shared" si="4"/>
        <v>14.66</v>
      </c>
      <c r="L12" s="1356">
        <f t="shared" ref="L12:L14" si="19">IF(ISERR(ROUND(K12/K11*100-100,1)),"－",ROUND(K12/K11*100-100,1))</f>
        <v>0.9</v>
      </c>
      <c r="M12" s="1358">
        <f t="shared" si="5"/>
        <v>1.54</v>
      </c>
      <c r="N12" s="1356">
        <f t="shared" ref="N12:N14" si="20">IF(ISERR(ROUND(M12/M11*100-100,1)),"－",ROUND(M12/M11*100-100,1))</f>
        <v>-0.6</v>
      </c>
      <c r="O12" s="1358">
        <f t="shared" si="6"/>
        <v>1.76</v>
      </c>
      <c r="P12" s="1356">
        <f t="shared" ref="P12:P14" si="21">IF(ISERR(ROUND(O12/O11*100-100,1)),"－",ROUND(O12/O11*100-100,1))</f>
        <v>-2.8</v>
      </c>
      <c r="Q12" s="1358">
        <f t="shared" si="7"/>
        <v>1.82</v>
      </c>
      <c r="R12" s="1356">
        <f t="shared" ref="R12:R14" si="22">IF(ISERR(ROUND(Q12/Q11*100-100,1)),"－",ROUND(Q12/Q11*100-100,1))</f>
        <v>-1.1000000000000001</v>
      </c>
      <c r="S12" s="1359">
        <f t="shared" si="8"/>
        <v>40617</v>
      </c>
      <c r="T12" s="1356">
        <f t="shared" ref="T12:T14" si="23">IF(ISERR(ROUND(S12/S11*100-100,1)),"－",ROUND(S12/S11*100-100,1))</f>
        <v>1.6</v>
      </c>
      <c r="U12" s="1360">
        <f t="shared" si="9"/>
        <v>9804</v>
      </c>
      <c r="V12" s="1356">
        <f t="shared" ref="V12:V14" si="24">IF(ISERR(ROUND(U12/U11*100-100,1)),"－",ROUND(U12/U11*100-100,1))</f>
        <v>3.6</v>
      </c>
      <c r="W12" s="1360">
        <f t="shared" si="10"/>
        <v>6875</v>
      </c>
      <c r="X12" s="1356">
        <f t="shared" ref="X12:X14" si="25">IF(ISERR(ROUND(W12/W11*100-100,1)),"－",ROUND(W12/W11*100-100,1))</f>
        <v>1.3</v>
      </c>
      <c r="Y12" s="1360">
        <f t="shared" si="15"/>
        <v>13723</v>
      </c>
      <c r="Z12" s="1356">
        <f t="shared" ref="Z12:Z14" si="26">IF(ISERR(ROUND(Y12/Y11*100-100,1)),"－",ROUND(Y12/Y11*100-100,1))</f>
        <v>3.1</v>
      </c>
      <c r="AA12" s="1360">
        <f t="shared" si="11"/>
        <v>109798</v>
      </c>
      <c r="AB12" s="1356">
        <f t="shared" ref="AB12:AB14" si="27">IF(ISERR(ROUND(AA12/AA11*100-100,1)),"－",ROUND(AA12/AA11*100-100,1))</f>
        <v>3</v>
      </c>
      <c r="AC12" s="1360">
        <f t="shared" si="12"/>
        <v>119762</v>
      </c>
      <c r="AD12" s="1356">
        <f t="shared" ref="AD12:AD14" si="28">IF(ISERR(ROUND(AC12/AC11*100-100,1)),"－",ROUND(AC12/AC11*100-100,1))</f>
        <v>2.8</v>
      </c>
      <c r="AE12" s="1360">
        <f t="shared" si="13"/>
        <v>24923</v>
      </c>
      <c r="AF12" s="1356">
        <f t="shared" ref="AF12:AF14" si="29">IF(ISERR(ROUND(AE12/AE11*100-100,1)),"－",ROUND(AE12/AE11*100-100,1))</f>
        <v>1</v>
      </c>
      <c r="AG12" s="1360">
        <f t="shared" si="14"/>
        <v>254483</v>
      </c>
      <c r="AH12" s="1356">
        <f t="shared" ref="AH12:AH14" si="30">IF(ISERR(ROUND(AG12/AG11*100-100,1)),"－",ROUND(AG12/AG11*100-100,1))</f>
        <v>2.7</v>
      </c>
      <c r="AI12" s="59"/>
      <c r="AJ12" s="1607">
        <v>2947512</v>
      </c>
      <c r="AK12" s="1607">
        <v>1951</v>
      </c>
      <c r="AL12" s="1607">
        <v>543579</v>
      </c>
      <c r="AM12" s="1607">
        <v>330</v>
      </c>
      <c r="AN12" s="1607">
        <v>127</v>
      </c>
      <c r="AO12" s="1607">
        <v>7967243</v>
      </c>
      <c r="AP12" s="1607">
        <v>4150</v>
      </c>
      <c r="AQ12" s="1607">
        <v>1726</v>
      </c>
      <c r="AR12" s="1607">
        <v>323594675389</v>
      </c>
      <c r="AS12" s="1607">
        <v>190111327</v>
      </c>
      <c r="AT12" s="1607">
        <v>61383112</v>
      </c>
      <c r="AU12" s="1607">
        <v>23444267</v>
      </c>
      <c r="AV12" s="1607">
        <v>16221</v>
      </c>
      <c r="AW12" s="1607">
        <v>5834</v>
      </c>
      <c r="AX12" s="1607">
        <v>35995597</v>
      </c>
      <c r="AY12" s="1607">
        <v>25550</v>
      </c>
      <c r="AZ12" s="1607">
        <v>9128</v>
      </c>
      <c r="BA12" s="1607">
        <v>352909953534</v>
      </c>
      <c r="BB12" s="1607">
        <v>245549499</v>
      </c>
      <c r="BC12" s="1607">
        <v>77993693</v>
      </c>
      <c r="BD12" s="1607">
        <v>6053843</v>
      </c>
      <c r="BE12" s="1607">
        <v>3990</v>
      </c>
      <c r="BF12" s="1607">
        <v>2042</v>
      </c>
      <c r="BG12" s="1607">
        <v>10681372</v>
      </c>
      <c r="BH12" s="1607">
        <v>6914</v>
      </c>
      <c r="BI12" s="1607">
        <v>3486</v>
      </c>
      <c r="BJ12" s="1607">
        <v>73441074063</v>
      </c>
      <c r="BK12" s="1607">
        <v>44825920</v>
      </c>
      <c r="BL12" s="1607">
        <v>22780610</v>
      </c>
      <c r="BM12" s="1607">
        <v>30041689</v>
      </c>
      <c r="BN12" s="1607">
        <v>54644212</v>
      </c>
      <c r="BO12" s="1607">
        <v>749945702986</v>
      </c>
    </row>
    <row r="13" spans="1:67" s="8" customFormat="1" ht="33" customHeight="1">
      <c r="A13" s="2020"/>
      <c r="B13" s="1101">
        <f>情報!$B$3</f>
        <v>2</v>
      </c>
      <c r="C13" s="1355">
        <f t="shared" si="0"/>
        <v>17.940999999999999</v>
      </c>
      <c r="D13" s="1356">
        <f t="shared" si="16"/>
        <v>-2.7</v>
      </c>
      <c r="E13" s="1357">
        <f t="shared" si="1"/>
        <v>717.50099999999998</v>
      </c>
      <c r="F13" s="1356">
        <f t="shared" si="16"/>
        <v>-9.8000000000000007</v>
      </c>
      <c r="G13" s="1357">
        <f t="shared" si="2"/>
        <v>181.405</v>
      </c>
      <c r="H13" s="1356">
        <f t="shared" si="17"/>
        <v>-11.7</v>
      </c>
      <c r="I13" s="1357">
        <f t="shared" si="3"/>
        <v>916.846</v>
      </c>
      <c r="J13" s="1356">
        <f t="shared" si="18"/>
        <v>-10.1</v>
      </c>
      <c r="K13" s="1358">
        <f t="shared" si="4"/>
        <v>14.56</v>
      </c>
      <c r="L13" s="1356">
        <f t="shared" si="19"/>
        <v>-0.7</v>
      </c>
      <c r="M13" s="1358">
        <f t="shared" si="5"/>
        <v>1.51</v>
      </c>
      <c r="N13" s="1356">
        <f t="shared" si="20"/>
        <v>-1.9</v>
      </c>
      <c r="O13" s="1358">
        <f t="shared" si="6"/>
        <v>1.78</v>
      </c>
      <c r="P13" s="1356">
        <f t="shared" si="21"/>
        <v>1.1000000000000001</v>
      </c>
      <c r="Q13" s="1358">
        <f t="shared" si="7"/>
        <v>1.82</v>
      </c>
      <c r="R13" s="1356">
        <f t="shared" si="22"/>
        <v>0</v>
      </c>
      <c r="S13" s="1359">
        <f t="shared" si="8"/>
        <v>41242</v>
      </c>
      <c r="T13" s="1356">
        <f t="shared" si="23"/>
        <v>1.5</v>
      </c>
      <c r="U13" s="1360">
        <f t="shared" si="9"/>
        <v>10650</v>
      </c>
      <c r="V13" s="1356">
        <f t="shared" si="24"/>
        <v>8.6</v>
      </c>
      <c r="W13" s="1360">
        <f t="shared" si="10"/>
        <v>7363</v>
      </c>
      <c r="X13" s="1356">
        <f t="shared" si="25"/>
        <v>7.1</v>
      </c>
      <c r="Y13" s="1360">
        <f t="shared" si="15"/>
        <v>14799</v>
      </c>
      <c r="Z13" s="1356">
        <f t="shared" si="26"/>
        <v>7.8</v>
      </c>
      <c r="AA13" s="1360">
        <f t="shared" si="11"/>
        <v>107707</v>
      </c>
      <c r="AB13" s="1356">
        <f t="shared" si="27"/>
        <v>-1.9</v>
      </c>
      <c r="AC13" s="1360">
        <f t="shared" si="12"/>
        <v>115698</v>
      </c>
      <c r="AD13" s="1356">
        <f t="shared" si="28"/>
        <v>-3.4</v>
      </c>
      <c r="AE13" s="1360">
        <f t="shared" si="13"/>
        <v>23749</v>
      </c>
      <c r="AF13" s="1356">
        <f t="shared" si="29"/>
        <v>-4.7</v>
      </c>
      <c r="AG13" s="1360">
        <f t="shared" si="14"/>
        <v>247155</v>
      </c>
      <c r="AH13" s="1356">
        <f t="shared" si="30"/>
        <v>-2.9</v>
      </c>
      <c r="AI13" s="59"/>
      <c r="AJ13" s="1607">
        <v>2859114</v>
      </c>
      <c r="AK13" s="1607">
        <v>15</v>
      </c>
      <c r="AL13" s="1607">
        <v>512951</v>
      </c>
      <c r="AM13" s="1607">
        <v>-6</v>
      </c>
      <c r="AN13" s="1607">
        <v>1</v>
      </c>
      <c r="AO13" s="1607">
        <v>7467089</v>
      </c>
      <c r="AP13" s="1607">
        <v>-48</v>
      </c>
      <c r="AQ13" s="1607">
        <v>-122</v>
      </c>
      <c r="AR13" s="1607">
        <v>307943254454</v>
      </c>
      <c r="AS13" s="1607">
        <v>3225969</v>
      </c>
      <c r="AT13" s="1607">
        <v>1409880</v>
      </c>
      <c r="AU13" s="1607">
        <v>20513962</v>
      </c>
      <c r="AV13" s="1607">
        <v>135</v>
      </c>
      <c r="AW13" s="1607">
        <v>173</v>
      </c>
      <c r="AX13" s="1607">
        <v>31060793</v>
      </c>
      <c r="AY13" s="1607">
        <v>309</v>
      </c>
      <c r="AZ13" s="1607">
        <v>241</v>
      </c>
      <c r="BA13" s="1607">
        <v>330790033165</v>
      </c>
      <c r="BB13" s="1607">
        <v>4408250</v>
      </c>
      <c r="BC13" s="1607">
        <v>1764840</v>
      </c>
      <c r="BD13" s="1607">
        <v>5186430</v>
      </c>
      <c r="BE13" s="1607">
        <v>53</v>
      </c>
      <c r="BF13" s="1607">
        <v>113</v>
      </c>
      <c r="BG13" s="1607">
        <v>9221727</v>
      </c>
      <c r="BH13" s="1607">
        <v>132</v>
      </c>
      <c r="BI13" s="1607">
        <v>180</v>
      </c>
      <c r="BJ13" s="1607">
        <v>67900580602</v>
      </c>
      <c r="BK13" s="1607">
        <v>917680</v>
      </c>
      <c r="BL13" s="1607">
        <v>1196280</v>
      </c>
      <c r="BM13" s="1607">
        <v>26213343</v>
      </c>
      <c r="BN13" s="1607">
        <v>47749609</v>
      </c>
      <c r="BO13" s="1607">
        <v>706633868221</v>
      </c>
    </row>
    <row r="14" spans="1:67" s="8" customFormat="1" ht="33" customHeight="1">
      <c r="A14" s="2021"/>
      <c r="B14" s="1102">
        <f>情報!$B$2</f>
        <v>3</v>
      </c>
      <c r="C14" s="1361">
        <f t="shared" si="0"/>
        <v>18.209</v>
      </c>
      <c r="D14" s="1362">
        <f t="shared" si="16"/>
        <v>1.5</v>
      </c>
      <c r="E14" s="1361">
        <f t="shared" si="1"/>
        <v>783.96400000000006</v>
      </c>
      <c r="F14" s="1362">
        <f t="shared" si="16"/>
        <v>9.3000000000000007</v>
      </c>
      <c r="G14" s="1361">
        <f t="shared" si="2"/>
        <v>202.55199999999999</v>
      </c>
      <c r="H14" s="1362">
        <f t="shared" si="17"/>
        <v>11.7</v>
      </c>
      <c r="I14" s="1361">
        <f t="shared" si="3"/>
        <v>1004.725</v>
      </c>
      <c r="J14" s="1362">
        <f t="shared" si="18"/>
        <v>9.6</v>
      </c>
      <c r="K14" s="1363">
        <f t="shared" si="4"/>
        <v>14.73</v>
      </c>
      <c r="L14" s="1362">
        <f t="shared" si="19"/>
        <v>1.2</v>
      </c>
      <c r="M14" s="1363">
        <f t="shared" si="5"/>
        <v>1.52</v>
      </c>
      <c r="N14" s="1362">
        <f t="shared" si="20"/>
        <v>0.7</v>
      </c>
      <c r="O14" s="1363">
        <f t="shared" si="6"/>
        <v>1.72</v>
      </c>
      <c r="P14" s="1362">
        <f t="shared" si="21"/>
        <v>-3.4</v>
      </c>
      <c r="Q14" s="1363">
        <f t="shared" si="7"/>
        <v>1.8</v>
      </c>
      <c r="R14" s="1362">
        <f t="shared" si="22"/>
        <v>-1.1000000000000001</v>
      </c>
      <c r="S14" s="1364">
        <f t="shared" si="8"/>
        <v>43834</v>
      </c>
      <c r="T14" s="1362">
        <f t="shared" si="23"/>
        <v>6.3</v>
      </c>
      <c r="U14" s="1365">
        <f t="shared" si="9"/>
        <v>10906</v>
      </c>
      <c r="V14" s="1362">
        <f t="shared" si="24"/>
        <v>2.4</v>
      </c>
      <c r="W14" s="1365">
        <f t="shared" si="10"/>
        <v>7536</v>
      </c>
      <c r="X14" s="1362">
        <f t="shared" si="25"/>
        <v>2.2999999999999998</v>
      </c>
      <c r="Y14" s="1365">
        <f t="shared" si="15"/>
        <v>15144</v>
      </c>
      <c r="Z14" s="1362">
        <f t="shared" si="26"/>
        <v>2.2999999999999998</v>
      </c>
      <c r="AA14" s="1365">
        <f t="shared" si="11"/>
        <v>117585</v>
      </c>
      <c r="AB14" s="1362">
        <f t="shared" si="27"/>
        <v>9.1999999999999993</v>
      </c>
      <c r="AC14" s="1365">
        <f t="shared" si="12"/>
        <v>130062</v>
      </c>
      <c r="AD14" s="1362">
        <f t="shared" si="28"/>
        <v>12.4</v>
      </c>
      <c r="AE14" s="1365">
        <f t="shared" si="13"/>
        <v>26179</v>
      </c>
      <c r="AF14" s="1362">
        <f t="shared" si="29"/>
        <v>10.199999999999999</v>
      </c>
      <c r="AG14" s="1365">
        <f t="shared" si="14"/>
        <v>273826</v>
      </c>
      <c r="AH14" s="1362">
        <f t="shared" si="30"/>
        <v>10.8</v>
      </c>
      <c r="AI14" s="59"/>
      <c r="AJ14" s="1607">
        <v>2778580</v>
      </c>
      <c r="AK14" s="1607">
        <v>0</v>
      </c>
      <c r="AL14" s="1607">
        <v>506013</v>
      </c>
      <c r="AM14" s="1607">
        <v>-57</v>
      </c>
      <c r="AN14" s="1607">
        <v>-4</v>
      </c>
      <c r="AO14" s="1607">
        <v>7453652</v>
      </c>
      <c r="AP14" s="1607">
        <v>-98</v>
      </c>
      <c r="AQ14" s="1607">
        <v>-6</v>
      </c>
      <c r="AR14" s="1607">
        <v>326719720605</v>
      </c>
      <c r="AS14" s="1607">
        <v>-709120</v>
      </c>
      <c r="AT14" s="1607">
        <v>-84520</v>
      </c>
      <c r="AU14" s="1607">
        <v>21783034</v>
      </c>
      <c r="AV14" s="1607">
        <v>3</v>
      </c>
      <c r="AW14" s="1607">
        <v>21</v>
      </c>
      <c r="AX14" s="1607">
        <v>33135837</v>
      </c>
      <c r="AY14" s="1607">
        <v>31</v>
      </c>
      <c r="AZ14" s="1607">
        <v>24</v>
      </c>
      <c r="BA14" s="1607">
        <v>361386369325</v>
      </c>
      <c r="BB14" s="1607">
        <v>170970</v>
      </c>
      <c r="BC14" s="1607">
        <v>136660</v>
      </c>
      <c r="BD14" s="1607">
        <v>5628061</v>
      </c>
      <c r="BE14" s="1607">
        <v>-3</v>
      </c>
      <c r="BF14" s="1607">
        <v>17</v>
      </c>
      <c r="BG14" s="1607">
        <v>9652430</v>
      </c>
      <c r="BH14" s="1607">
        <v>-14</v>
      </c>
      <c r="BI14" s="1607">
        <v>23</v>
      </c>
      <c r="BJ14" s="1607">
        <v>72741183554</v>
      </c>
      <c r="BK14" s="1607">
        <v>-38097</v>
      </c>
      <c r="BL14" s="1607">
        <v>257620</v>
      </c>
      <c r="BM14" s="1607">
        <v>27917108</v>
      </c>
      <c r="BN14" s="1607">
        <v>50241919</v>
      </c>
      <c r="BO14" s="1607">
        <v>760847273484</v>
      </c>
    </row>
    <row r="15" spans="1:67" s="1304" customFormat="1" ht="12" hidden="1">
      <c r="A15" s="1348"/>
      <c r="B15" s="1346">
        <f>情報!$B$7</f>
        <v>28</v>
      </c>
      <c r="C15" s="1366">
        <f>IF(AJ15=0,"－",ROUND(AL15/AJ15*100,3))</f>
        <v>11.034000000000001</v>
      </c>
      <c r="D15" s="1349" t="s">
        <v>433</v>
      </c>
      <c r="E15" s="1366">
        <f>IF(AJ15=0,"－",ROUND(AU15/AJ15*100,3))</f>
        <v>646.44399999999996</v>
      </c>
      <c r="F15" s="1349" t="s">
        <v>433</v>
      </c>
      <c r="G15" s="1366">
        <f>IF(AJ15=0,"－",ROUND(BD15/AJ15*100,3))</f>
        <v>166.286</v>
      </c>
      <c r="H15" s="1349" t="s">
        <v>433</v>
      </c>
      <c r="I15" s="1366">
        <f>IF(AJ15=0,"－",ROUND(BM15/AJ15*100,3))</f>
        <v>823.76400000000001</v>
      </c>
      <c r="J15" s="1349" t="s">
        <v>433</v>
      </c>
      <c r="K15" s="1367">
        <f t="shared" ref="K15:K20" si="31">IF(AL15=0,"－",ROUND(AO15/AL15,2))</f>
        <v>10.08</v>
      </c>
      <c r="L15" s="1349" t="s">
        <v>433</v>
      </c>
      <c r="M15" s="1367">
        <f t="shared" ref="M15:M20" si="32">IF(AU15=0,"－",ROUND(AX15/AU15,2))</f>
        <v>1.45</v>
      </c>
      <c r="N15" s="1349" t="s">
        <v>433</v>
      </c>
      <c r="O15" s="1367">
        <f t="shared" ref="O15:O20" si="33">IF(BD15=0,"－",ROUND(BG15/BD15,2))</f>
        <v>1.82</v>
      </c>
      <c r="P15" s="1349" t="s">
        <v>433</v>
      </c>
      <c r="Q15" s="1367">
        <f t="shared" ref="Q15:Q20" si="34">IF(BM15=0,"－",ROUND(BN15/BM15,2))</f>
        <v>1.64</v>
      </c>
      <c r="R15" s="1349" t="s">
        <v>433</v>
      </c>
      <c r="S15" s="1368">
        <f t="shared" ref="S15:S20" si="35">IF(AO15=0,"－",ROUND(AR15/AO15,0))</f>
        <v>51239</v>
      </c>
      <c r="T15" s="1349" t="s">
        <v>433</v>
      </c>
      <c r="U15" s="1369">
        <f t="shared" ref="U15:U20" si="36">IF(AX15=0,"－",ROUND(BA15/AX15,0))</f>
        <v>8169</v>
      </c>
      <c r="V15" s="1349" t="s">
        <v>433</v>
      </c>
      <c r="W15" s="1369">
        <f t="shared" ref="W15:W20" si="37">IF(BG15=0,"－",ROUND(BJ15/BG15,0))</f>
        <v>6762</v>
      </c>
      <c r="X15" s="1349" t="s">
        <v>433</v>
      </c>
      <c r="Y15" s="1369">
        <f t="shared" ref="Y15:Y20" si="38">IF(BN15=0,"－",ROUND(BO15/BN15,0))</f>
        <v>11395</v>
      </c>
      <c r="Z15" s="1349" t="s">
        <v>433</v>
      </c>
      <c r="AA15" s="1369">
        <f t="shared" ref="AA15:AA20" si="39">IF(ISERR(AR15/AJ15),"－",ROUND(AR15/AJ15,0))</f>
        <v>57007</v>
      </c>
      <c r="AB15" s="1349" t="s">
        <v>433</v>
      </c>
      <c r="AC15" s="1369">
        <f t="shared" ref="AC15:AC20" si="40">IF(ISERR(BA15/AJ15),"－",ROUND(BA15/AJ15,0))</f>
        <v>76776</v>
      </c>
      <c r="AD15" s="1349" t="s">
        <v>433</v>
      </c>
      <c r="AE15" s="1369">
        <f t="shared" ref="AE15:AE20" si="41">IF(ISERR(BJ15/AJ15),"－",ROUND(BJ15/AJ15,0))</f>
        <v>20447</v>
      </c>
      <c r="AF15" s="1349" t="s">
        <v>433</v>
      </c>
      <c r="AG15" s="1369">
        <f t="shared" ref="AG15:AG20" si="42">IF(ISERR(BO15/AJ15),"－",ROUND(BO15/AJ15,0))</f>
        <v>154231</v>
      </c>
      <c r="AH15" s="1349" t="s">
        <v>433</v>
      </c>
      <c r="AJ15" s="1607">
        <v>1278555</v>
      </c>
      <c r="AK15" s="1607">
        <v>0</v>
      </c>
      <c r="AL15" s="1607">
        <v>141074</v>
      </c>
      <c r="AM15" s="1607">
        <v>0</v>
      </c>
      <c r="AN15" s="1607">
        <v>0</v>
      </c>
      <c r="AO15" s="1607">
        <v>1422480</v>
      </c>
      <c r="AP15" s="1607">
        <v>0</v>
      </c>
      <c r="AQ15" s="1607">
        <v>0</v>
      </c>
      <c r="AR15" s="1607">
        <v>72886897375</v>
      </c>
      <c r="AS15" s="1607">
        <v>0</v>
      </c>
      <c r="AT15" s="1607">
        <v>0</v>
      </c>
      <c r="AU15" s="1607">
        <v>8265136</v>
      </c>
      <c r="AV15" s="1607">
        <v>0</v>
      </c>
      <c r="AW15" s="1607">
        <v>0</v>
      </c>
      <c r="AX15" s="1607">
        <v>12016624</v>
      </c>
      <c r="AY15" s="1607">
        <v>0</v>
      </c>
      <c r="AZ15" s="1607">
        <v>0</v>
      </c>
      <c r="BA15" s="1607">
        <v>98162929945</v>
      </c>
      <c r="BB15" s="1607">
        <v>0</v>
      </c>
      <c r="BC15" s="1607">
        <v>0</v>
      </c>
      <c r="BD15" s="1607">
        <v>2126063</v>
      </c>
      <c r="BE15" s="1607">
        <v>0</v>
      </c>
      <c r="BF15" s="1607">
        <v>0</v>
      </c>
      <c r="BG15" s="1607">
        <v>3866259</v>
      </c>
      <c r="BH15" s="1607">
        <v>0</v>
      </c>
      <c r="BI15" s="1607">
        <v>0</v>
      </c>
      <c r="BJ15" s="1607">
        <v>26143201453</v>
      </c>
      <c r="BK15" s="1607">
        <v>0</v>
      </c>
      <c r="BL15" s="1607">
        <v>0</v>
      </c>
      <c r="BM15" s="1607">
        <v>10532273</v>
      </c>
      <c r="BN15" s="1607">
        <v>17305363</v>
      </c>
      <c r="BO15" s="1607">
        <v>197193028773</v>
      </c>
    </row>
    <row r="16" spans="1:67" s="8" customFormat="1" ht="33" customHeight="1">
      <c r="A16" s="865"/>
      <c r="B16" s="1101">
        <f>情報!$B$6</f>
        <v>29</v>
      </c>
      <c r="C16" s="1370">
        <f>IF(AJ16=0,"－",ROUND(AL16/AJ16*100,3))</f>
        <v>10.988</v>
      </c>
      <c r="D16" s="1356">
        <f>IF(ISERR(ROUND(C16/C15*100-100,1)),"－",ROUND(C16/C15*100-100,1))</f>
        <v>-0.4</v>
      </c>
      <c r="E16" s="1370">
        <f>IF(AJ16=0,"－",ROUND(AU16/AJ16*100,3))</f>
        <v>648.07299999999998</v>
      </c>
      <c r="F16" s="1356">
        <f>IF(ISERR(ROUND(E16/E15*100-100,1)),"－",ROUND(E16/E15*100-100,1))</f>
        <v>0.3</v>
      </c>
      <c r="G16" s="1370">
        <f>IF(AJ16=0,"－",ROUND(BD16/AJ16*100,3))</f>
        <v>168.71299999999999</v>
      </c>
      <c r="H16" s="1356">
        <f>IF(ISERR(ROUND(G16/G15*100-100,1)),"－",ROUND(G16/G15*100-100,1))</f>
        <v>1.5</v>
      </c>
      <c r="I16" s="1370">
        <f>IF(AJ16=0,"－",ROUND(BM16/AJ16*100,3))</f>
        <v>827.77499999999998</v>
      </c>
      <c r="J16" s="1356">
        <f>IF(ISERR(ROUND(I16/I15*100-100,1)),"－",ROUND(I16/I15*100-100,1))</f>
        <v>0.5</v>
      </c>
      <c r="K16" s="1371">
        <f t="shared" si="31"/>
        <v>9.98</v>
      </c>
      <c r="L16" s="1356">
        <f>IF(ISERR(ROUND(K16/K15*100-100,1)),"－",ROUND(K16/K15*100-100,1))</f>
        <v>-1</v>
      </c>
      <c r="M16" s="1371">
        <f t="shared" si="32"/>
        <v>1.44</v>
      </c>
      <c r="N16" s="1356">
        <f>IF(ISERR(ROUND(M16/M15*100-100,1)),"－",ROUND(M16/M15*100-100,1))</f>
        <v>-0.7</v>
      </c>
      <c r="O16" s="1371">
        <f t="shared" si="33"/>
        <v>1.78</v>
      </c>
      <c r="P16" s="1356">
        <f>IF(ISERR(ROUND(O16/O15*100-100,1)),"－",ROUND(O16/O15*100-100,1))</f>
        <v>-2.2000000000000002</v>
      </c>
      <c r="Q16" s="1371">
        <f t="shared" si="34"/>
        <v>1.62</v>
      </c>
      <c r="R16" s="1356">
        <f>IF(ISERR(ROUND(Q16/Q15*100-100,1)),"－",ROUND(Q16/Q15*100-100,1))</f>
        <v>-1.2</v>
      </c>
      <c r="S16" s="1372">
        <f t="shared" si="35"/>
        <v>52283</v>
      </c>
      <c r="T16" s="1356">
        <f>IF(ISERR(ROUND(S16/S15*100-100,1)),"－",ROUND(S16/S15*100-100,1))</f>
        <v>2</v>
      </c>
      <c r="U16" s="1373">
        <f t="shared" si="36"/>
        <v>8299</v>
      </c>
      <c r="V16" s="1356">
        <f>IF(ISERR(ROUND(U16/U15*100-100,1)),"－",ROUND(U16/U15*100-100,1))</f>
        <v>1.6</v>
      </c>
      <c r="W16" s="1373">
        <f t="shared" si="37"/>
        <v>6861</v>
      </c>
      <c r="X16" s="1356">
        <f>IF(ISERR(ROUND(W16/W15*100-100,1)),"－",ROUND(W16/W15*100-100,1))</f>
        <v>1.5</v>
      </c>
      <c r="Y16" s="1373">
        <f t="shared" si="38"/>
        <v>11572</v>
      </c>
      <c r="Z16" s="1356">
        <f>IF(ISERR(ROUND(Y16/Y15*100-100,1)),"－",ROUND(Y16/Y15*100-100,1))</f>
        <v>1.6</v>
      </c>
      <c r="AA16" s="1373">
        <f t="shared" si="39"/>
        <v>57363</v>
      </c>
      <c r="AB16" s="1356">
        <f>IF(ISERR(ROUND(AA16/AA15*100-100,1)),"－",ROUND(AA16/AA15*100-100,1))</f>
        <v>0.6</v>
      </c>
      <c r="AC16" s="1373">
        <f t="shared" si="40"/>
        <v>77375</v>
      </c>
      <c r="AD16" s="1356">
        <f>IF(ISERR(ROUND(AC16/AC15*100-100,1)),"－",ROUND(AC16/AC15*100-100,1))</f>
        <v>0.8</v>
      </c>
      <c r="AE16" s="1373">
        <f t="shared" si="41"/>
        <v>20607</v>
      </c>
      <c r="AF16" s="1356">
        <f>IF(ISERR(ROUND(AE16/AE15*100-100,1)),"－",ROUND(AE16/AE15*100-100,1))</f>
        <v>0.8</v>
      </c>
      <c r="AG16" s="1373">
        <f t="shared" si="42"/>
        <v>155345</v>
      </c>
      <c r="AH16" s="1356">
        <f>IF(ISERR(ROUND(AG16/AG15*100-100,1)),"－",ROUND(AG16/AG15*100-100,1))</f>
        <v>0.7</v>
      </c>
      <c r="AJ16" s="1607">
        <v>1267006</v>
      </c>
      <c r="AK16" s="1607">
        <v>0</v>
      </c>
      <c r="AL16" s="1607">
        <v>139222</v>
      </c>
      <c r="AM16" s="1607">
        <v>0</v>
      </c>
      <c r="AN16" s="1607">
        <v>0</v>
      </c>
      <c r="AO16" s="1607">
        <v>1390121</v>
      </c>
      <c r="AP16" s="1607">
        <v>0</v>
      </c>
      <c r="AQ16" s="1607">
        <v>0</v>
      </c>
      <c r="AR16" s="1607">
        <v>72679571655</v>
      </c>
      <c r="AS16" s="1607">
        <v>0</v>
      </c>
      <c r="AT16" s="1607">
        <v>0</v>
      </c>
      <c r="AU16" s="1607">
        <v>8211129</v>
      </c>
      <c r="AV16" s="1607">
        <v>0</v>
      </c>
      <c r="AW16" s="1607">
        <v>0</v>
      </c>
      <c r="AX16" s="1607">
        <v>11813050</v>
      </c>
      <c r="AY16" s="1607">
        <v>0</v>
      </c>
      <c r="AZ16" s="1607">
        <v>0</v>
      </c>
      <c r="BA16" s="1607">
        <v>98034814218</v>
      </c>
      <c r="BB16" s="1607">
        <v>0</v>
      </c>
      <c r="BC16" s="1607">
        <v>0</v>
      </c>
      <c r="BD16" s="1607">
        <v>2137607</v>
      </c>
      <c r="BE16" s="1607">
        <v>0</v>
      </c>
      <c r="BF16" s="1607">
        <v>0</v>
      </c>
      <c r="BG16" s="1607">
        <v>3805605</v>
      </c>
      <c r="BH16" s="1607">
        <v>0</v>
      </c>
      <c r="BI16" s="1607">
        <v>0</v>
      </c>
      <c r="BJ16" s="1607">
        <v>26108767894</v>
      </c>
      <c r="BK16" s="1607">
        <v>0</v>
      </c>
      <c r="BL16" s="1607">
        <v>0</v>
      </c>
      <c r="BM16" s="1607">
        <v>10487958</v>
      </c>
      <c r="BN16" s="1607">
        <v>17008776</v>
      </c>
      <c r="BO16" s="1607">
        <v>196823153767</v>
      </c>
    </row>
    <row r="17" spans="1:67" s="8" customFormat="1" ht="33" customHeight="1">
      <c r="A17" s="862" t="s">
        <v>126</v>
      </c>
      <c r="B17" s="1101">
        <f>情報!$B$5</f>
        <v>30</v>
      </c>
      <c r="C17" s="1370">
        <f t="shared" ref="C17:C20" si="43">IF(AJ17=0,"－",ROUND(AL17/AJ17*100,3))</f>
        <v>10.85</v>
      </c>
      <c r="D17" s="1356">
        <f>IF(ISERR(ROUND(C17/C16*100-100,1)),"－",ROUND(C17/C16*100-100,1))</f>
        <v>-1.3</v>
      </c>
      <c r="E17" s="1370">
        <f t="shared" ref="E17:E20" si="44">IF(AJ17=0,"－",ROUND(AU17/AJ17*100,3))</f>
        <v>650.74699999999996</v>
      </c>
      <c r="F17" s="1356">
        <f>IF(ISERR(ROUND(E17/E16*100-100,1)),"－",ROUND(E17/E16*100-100,1))</f>
        <v>0.4</v>
      </c>
      <c r="G17" s="1370">
        <f t="shared" ref="G17:G20" si="45">IF(AJ17=0,"－",ROUND(BD17/AJ17*100,3))</f>
        <v>171.33</v>
      </c>
      <c r="H17" s="1356">
        <f>IF(ISERR(ROUND(G17/G16*100-100,1)),"－",ROUND(G17/G16*100-100,1))</f>
        <v>1.6</v>
      </c>
      <c r="I17" s="1370">
        <f t="shared" ref="I17:I20" si="46">IF(AJ17=0,"－",ROUND(BM17/AJ17*100,3))</f>
        <v>832.928</v>
      </c>
      <c r="J17" s="1356">
        <f>IF(ISERR(ROUND(I17/I16*100-100,1)),"－",ROUND(I17/I16*100-100,1))</f>
        <v>0.6</v>
      </c>
      <c r="K17" s="1371">
        <f t="shared" si="31"/>
        <v>9.84</v>
      </c>
      <c r="L17" s="1356">
        <f>IF(ISERR(ROUND(K17/K16*100-100,1)),"－",ROUND(K17/K16*100-100,1))</f>
        <v>-1.4</v>
      </c>
      <c r="M17" s="1371">
        <f t="shared" si="32"/>
        <v>1.42</v>
      </c>
      <c r="N17" s="1356">
        <f>IF(ISERR(ROUND(M17/M16*100-100,1)),"－",ROUND(M17/M16*100-100,1))</f>
        <v>-1.4</v>
      </c>
      <c r="O17" s="1371">
        <f t="shared" si="33"/>
        <v>1.74</v>
      </c>
      <c r="P17" s="1356">
        <f>IF(ISERR(ROUND(O17/O16*100-100,1)),"－",ROUND(O17/O16*100-100,1))</f>
        <v>-2.2000000000000002</v>
      </c>
      <c r="Q17" s="1371">
        <f t="shared" si="34"/>
        <v>1.6</v>
      </c>
      <c r="R17" s="1356">
        <f>IF(ISERR(ROUND(Q17/Q16*100-100,1)),"－",ROUND(Q17/Q16*100-100,1))</f>
        <v>-1.2</v>
      </c>
      <c r="S17" s="1372">
        <f t="shared" si="35"/>
        <v>54231</v>
      </c>
      <c r="T17" s="1356">
        <f>IF(ISERR(ROUND(S17/S16*100-100,1)),"－",ROUND(S17/S16*100-100,1))</f>
        <v>3.7</v>
      </c>
      <c r="U17" s="1373">
        <f t="shared" si="36"/>
        <v>8412</v>
      </c>
      <c r="V17" s="1356">
        <f>IF(ISERR(ROUND(U17/U16*100-100,1)),"－",ROUND(U17/U16*100-100,1))</f>
        <v>1.4</v>
      </c>
      <c r="W17" s="1373">
        <f t="shared" si="37"/>
        <v>6999</v>
      </c>
      <c r="X17" s="1356">
        <f>IF(ISERR(ROUND(W17/W16*100-100,1)),"－",ROUND(W17/W16*100-100,1))</f>
        <v>2</v>
      </c>
      <c r="Y17" s="1373">
        <f t="shared" si="38"/>
        <v>11776</v>
      </c>
      <c r="Z17" s="1356">
        <f>IF(ISERR(ROUND(Y17/Y16*100-100,1)),"－",ROUND(Y17/Y16*100-100,1))</f>
        <v>1.8</v>
      </c>
      <c r="AA17" s="1373">
        <f t="shared" si="39"/>
        <v>57930</v>
      </c>
      <c r="AB17" s="1356">
        <f>IF(ISERR(ROUND(AA17/AA16*100-100,1)),"－",ROUND(AA17/AA16*100-100,1))</f>
        <v>1</v>
      </c>
      <c r="AC17" s="1373">
        <f t="shared" si="40"/>
        <v>77871</v>
      </c>
      <c r="AD17" s="1356">
        <f>IF(ISERR(ROUND(AC17/AC16*100-100,1)),"－",ROUND(AC17/AC16*100-100,1))</f>
        <v>0.6</v>
      </c>
      <c r="AE17" s="1373">
        <f t="shared" si="41"/>
        <v>20835</v>
      </c>
      <c r="AF17" s="1356">
        <f>IF(ISERR(ROUND(AE17/AE16*100-100,1)),"－",ROUND(AE17/AE16*100-100,1))</f>
        <v>1.1000000000000001</v>
      </c>
      <c r="AG17" s="1373">
        <f t="shared" si="42"/>
        <v>156635</v>
      </c>
      <c r="AH17" s="1356">
        <f>IF(ISERR(ROUND(AG17/AG16*100-100,1)),"－",ROUND(AG17/AG16*100-100,1))</f>
        <v>0.8</v>
      </c>
      <c r="AJ17" s="1607">
        <v>1254787</v>
      </c>
      <c r="AK17" s="1607">
        <v>0</v>
      </c>
      <c r="AL17" s="1607">
        <v>136150</v>
      </c>
      <c r="AM17" s="1607">
        <v>0</v>
      </c>
      <c r="AN17" s="1607">
        <v>0</v>
      </c>
      <c r="AO17" s="1607">
        <v>1340368</v>
      </c>
      <c r="AP17" s="1607">
        <v>0</v>
      </c>
      <c r="AQ17" s="1607">
        <v>0</v>
      </c>
      <c r="AR17" s="1607">
        <v>72689252781</v>
      </c>
      <c r="AS17" s="1607">
        <v>0</v>
      </c>
      <c r="AT17" s="1607">
        <v>0</v>
      </c>
      <c r="AU17" s="1607">
        <v>8165493</v>
      </c>
      <c r="AV17" s="1607">
        <v>0</v>
      </c>
      <c r="AW17" s="1607">
        <v>0</v>
      </c>
      <c r="AX17" s="1607">
        <v>11615086</v>
      </c>
      <c r="AY17" s="1607">
        <v>0</v>
      </c>
      <c r="AZ17" s="1607">
        <v>0</v>
      </c>
      <c r="BA17" s="1607">
        <v>97711671465</v>
      </c>
      <c r="BB17" s="1607">
        <v>0</v>
      </c>
      <c r="BC17" s="1607">
        <v>0</v>
      </c>
      <c r="BD17" s="1607">
        <v>2149829</v>
      </c>
      <c r="BE17" s="1607">
        <v>0</v>
      </c>
      <c r="BF17" s="1607">
        <v>0</v>
      </c>
      <c r="BG17" s="1607">
        <v>3735242</v>
      </c>
      <c r="BH17" s="1607">
        <v>0</v>
      </c>
      <c r="BI17" s="1607">
        <v>0</v>
      </c>
      <c r="BJ17" s="1607">
        <v>26143101833</v>
      </c>
      <c r="BK17" s="1607">
        <v>0</v>
      </c>
      <c r="BL17" s="1607">
        <v>0</v>
      </c>
      <c r="BM17" s="1607">
        <v>10451472</v>
      </c>
      <c r="BN17" s="1607">
        <v>16690696</v>
      </c>
      <c r="BO17" s="1607">
        <v>196544026079</v>
      </c>
    </row>
    <row r="18" spans="1:67" s="8" customFormat="1" ht="33" customHeight="1">
      <c r="A18" s="867"/>
      <c r="B18" s="1101" t="str">
        <f>情報!$B$4</f>
        <v>元</v>
      </c>
      <c r="C18" s="1370">
        <f t="shared" si="43"/>
        <v>10.715999999999999</v>
      </c>
      <c r="D18" s="1356">
        <f t="shared" ref="D18:D20" si="47">IF(ISERR(ROUND(C18/C17*100-100,1)),"－",ROUND(C18/C17*100-100,1))</f>
        <v>-1.2</v>
      </c>
      <c r="E18" s="1370">
        <f t="shared" si="44"/>
        <v>644.09500000000003</v>
      </c>
      <c r="F18" s="1356">
        <f t="shared" ref="F18:F20" si="48">IF(ISERR(ROUND(E18/E17*100-100,1)),"－",ROUND(E18/E17*100-100,1))</f>
        <v>-1</v>
      </c>
      <c r="G18" s="1370">
        <f t="shared" si="45"/>
        <v>175.15100000000001</v>
      </c>
      <c r="H18" s="1356">
        <f t="shared" ref="H18:H20" si="49">IF(ISERR(ROUND(G18/G17*100-100,1)),"－",ROUND(G18/G17*100-100,1))</f>
        <v>2.2000000000000002</v>
      </c>
      <c r="I18" s="1370">
        <f t="shared" si="46"/>
        <v>829.96199999999999</v>
      </c>
      <c r="J18" s="1356">
        <f t="shared" ref="J18:J20" si="50">IF(ISERR(ROUND(I18/I17*100-100,1)),"－",ROUND(I18/I17*100-100,1))</f>
        <v>-0.4</v>
      </c>
      <c r="K18" s="1371">
        <f t="shared" si="31"/>
        <v>9.74</v>
      </c>
      <c r="L18" s="1356">
        <f t="shared" ref="L18:L20" si="51">IF(ISERR(ROUND(K18/K17*100-100,1)),"－",ROUND(K18/K17*100-100,1))</f>
        <v>-1</v>
      </c>
      <c r="M18" s="1371">
        <f t="shared" si="32"/>
        <v>1.41</v>
      </c>
      <c r="N18" s="1356">
        <f t="shared" ref="N18:N20" si="52">IF(ISERR(ROUND(M18/M17*100-100,1)),"－",ROUND(M18/M17*100-100,1))</f>
        <v>-0.7</v>
      </c>
      <c r="O18" s="1371">
        <f t="shared" si="33"/>
        <v>1.7</v>
      </c>
      <c r="P18" s="1356">
        <f t="shared" ref="P18:P20" si="53">IF(ISERR(ROUND(O18/O17*100-100,1)),"－",ROUND(O18/O17*100-100,1))</f>
        <v>-2.2999999999999998</v>
      </c>
      <c r="Q18" s="1371">
        <f t="shared" si="34"/>
        <v>1.58</v>
      </c>
      <c r="R18" s="1356">
        <f t="shared" ref="R18:R20" si="54">IF(ISERR(ROUND(Q18/Q17*100-100,1)),"－",ROUND(Q18/Q17*100-100,1))</f>
        <v>-1.3</v>
      </c>
      <c r="S18" s="1372">
        <f t="shared" si="35"/>
        <v>55963</v>
      </c>
      <c r="T18" s="1356">
        <f t="shared" ref="T18:T20" si="55">IF(ISERR(ROUND(S18/S17*100-100,1)),"－",ROUND(S18/S17*100-100,1))</f>
        <v>3.2</v>
      </c>
      <c r="U18" s="1373">
        <f t="shared" si="36"/>
        <v>8691</v>
      </c>
      <c r="V18" s="1356">
        <f t="shared" ref="V18:V20" si="56">IF(ISERR(ROUND(U18/U17*100-100,1)),"－",ROUND(U18/U17*100-100,1))</f>
        <v>3.3</v>
      </c>
      <c r="W18" s="1373">
        <f t="shared" si="37"/>
        <v>7126</v>
      </c>
      <c r="X18" s="1356">
        <f t="shared" ref="X18:X20" si="57">IF(ISERR(ROUND(W18/W17*100-100,1)),"－",ROUND(W18/W17*100-100,1))</f>
        <v>1.8</v>
      </c>
      <c r="Y18" s="1373">
        <f t="shared" si="38"/>
        <v>12106</v>
      </c>
      <c r="Z18" s="1356">
        <f t="shared" ref="Z18:Z20" si="58">IF(ISERR(ROUND(Y18/Y17*100-100,1)),"－",ROUND(Y18/Y17*100-100,1))</f>
        <v>2.8</v>
      </c>
      <c r="AA18" s="1373">
        <f t="shared" si="39"/>
        <v>58427</v>
      </c>
      <c r="AB18" s="1356">
        <f t="shared" ref="AB18:AB20" si="59">IF(ISERR(ROUND(AA18/AA17*100-100,1)),"－",ROUND(AA18/AA17*100-100,1))</f>
        <v>0.9</v>
      </c>
      <c r="AC18" s="1373">
        <f t="shared" si="40"/>
        <v>78882</v>
      </c>
      <c r="AD18" s="1356">
        <f t="shared" ref="AD18:AD20" si="60">IF(ISERR(ROUND(AC18/AC17*100-100,1)),"－",ROUND(AC18/AC17*100-100,1))</f>
        <v>1.3</v>
      </c>
      <c r="AE18" s="1373">
        <f t="shared" si="41"/>
        <v>21161</v>
      </c>
      <c r="AF18" s="1356">
        <f t="shared" ref="AF18:AF20" si="61">IF(ISERR(ROUND(AE18/AE17*100-100,1)),"－",ROUND(AE18/AE17*100-100,1))</f>
        <v>1.6</v>
      </c>
      <c r="AG18" s="1373">
        <f t="shared" si="42"/>
        <v>158470</v>
      </c>
      <c r="AH18" s="1356">
        <f t="shared" ref="AH18:AH20" si="62">IF(ISERR(ROUND(AG18/AG17*100-100,1)),"－",ROUND(AG18/AG17*100-100,1))</f>
        <v>1.2</v>
      </c>
      <c r="AJ18" s="1607">
        <v>1249564</v>
      </c>
      <c r="AK18" s="1607">
        <v>0</v>
      </c>
      <c r="AL18" s="1607">
        <v>133904</v>
      </c>
      <c r="AM18" s="1607">
        <v>0</v>
      </c>
      <c r="AN18" s="1607">
        <v>0</v>
      </c>
      <c r="AO18" s="1607">
        <v>1304584</v>
      </c>
      <c r="AP18" s="1607">
        <v>0</v>
      </c>
      <c r="AQ18" s="1607">
        <v>0</v>
      </c>
      <c r="AR18" s="1607">
        <v>73008659032</v>
      </c>
      <c r="AS18" s="1607">
        <v>0</v>
      </c>
      <c r="AT18" s="1607">
        <v>0</v>
      </c>
      <c r="AU18" s="1607">
        <v>8048376</v>
      </c>
      <c r="AV18" s="1607">
        <v>0</v>
      </c>
      <c r="AW18" s="1607">
        <v>0</v>
      </c>
      <c r="AX18" s="1607">
        <v>11341003</v>
      </c>
      <c r="AY18" s="1607">
        <v>0</v>
      </c>
      <c r="AZ18" s="1607">
        <v>0</v>
      </c>
      <c r="BA18" s="1607">
        <v>98567719489</v>
      </c>
      <c r="BB18" s="1607">
        <v>0</v>
      </c>
      <c r="BC18" s="1607">
        <v>0</v>
      </c>
      <c r="BD18" s="1607">
        <v>2188626</v>
      </c>
      <c r="BE18" s="1607">
        <v>0</v>
      </c>
      <c r="BF18" s="1607">
        <v>0</v>
      </c>
      <c r="BG18" s="1607">
        <v>3710903</v>
      </c>
      <c r="BH18" s="1607">
        <v>0</v>
      </c>
      <c r="BI18" s="1607">
        <v>0</v>
      </c>
      <c r="BJ18" s="1607">
        <v>26442181774</v>
      </c>
      <c r="BK18" s="1607">
        <v>0</v>
      </c>
      <c r="BL18" s="1607">
        <v>0</v>
      </c>
      <c r="BM18" s="1607">
        <v>10370906</v>
      </c>
      <c r="BN18" s="1607">
        <v>16356490</v>
      </c>
      <c r="BO18" s="1607">
        <v>198018560295</v>
      </c>
    </row>
    <row r="19" spans="1:67" s="8" customFormat="1" ht="33" customHeight="1">
      <c r="A19" s="862" t="s">
        <v>127</v>
      </c>
      <c r="B19" s="1101">
        <f>情報!$B$3</f>
        <v>2</v>
      </c>
      <c r="C19" s="1370">
        <f t="shared" si="43"/>
        <v>9.8170000000000002</v>
      </c>
      <c r="D19" s="1356">
        <f t="shared" si="47"/>
        <v>-8.4</v>
      </c>
      <c r="E19" s="1370">
        <f t="shared" si="44"/>
        <v>568.76</v>
      </c>
      <c r="F19" s="1356">
        <f t="shared" si="48"/>
        <v>-11.7</v>
      </c>
      <c r="G19" s="1370">
        <f t="shared" si="45"/>
        <v>164.035</v>
      </c>
      <c r="H19" s="1356">
        <f t="shared" si="49"/>
        <v>-6.3</v>
      </c>
      <c r="I19" s="1370">
        <f t="shared" si="46"/>
        <v>742.61099999999999</v>
      </c>
      <c r="J19" s="1356">
        <f t="shared" si="50"/>
        <v>-10.5</v>
      </c>
      <c r="K19" s="1371">
        <f t="shared" si="31"/>
        <v>9.5500000000000007</v>
      </c>
      <c r="L19" s="1356">
        <f t="shared" si="51"/>
        <v>-2</v>
      </c>
      <c r="M19" s="1371">
        <f t="shared" si="32"/>
        <v>1.39</v>
      </c>
      <c r="N19" s="1356">
        <f t="shared" si="52"/>
        <v>-1.4</v>
      </c>
      <c r="O19" s="1371">
        <f t="shared" si="33"/>
        <v>1.7</v>
      </c>
      <c r="P19" s="1356">
        <f t="shared" si="53"/>
        <v>0</v>
      </c>
      <c r="Q19" s="1371">
        <f t="shared" si="34"/>
        <v>1.57</v>
      </c>
      <c r="R19" s="1356">
        <f t="shared" si="54"/>
        <v>-0.6</v>
      </c>
      <c r="S19" s="1372">
        <f t="shared" si="35"/>
        <v>58490</v>
      </c>
      <c r="T19" s="1356">
        <f t="shared" si="55"/>
        <v>4.5</v>
      </c>
      <c r="U19" s="1373">
        <f t="shared" si="36"/>
        <v>9427</v>
      </c>
      <c r="V19" s="1356">
        <f t="shared" si="56"/>
        <v>8.5</v>
      </c>
      <c r="W19" s="1373">
        <f t="shared" si="37"/>
        <v>7605</v>
      </c>
      <c r="X19" s="1356">
        <f t="shared" si="57"/>
        <v>6.7</v>
      </c>
      <c r="Y19" s="1373">
        <f t="shared" si="38"/>
        <v>12940</v>
      </c>
      <c r="Z19" s="1356">
        <f t="shared" si="58"/>
        <v>6.9</v>
      </c>
      <c r="AA19" s="1373">
        <f t="shared" si="39"/>
        <v>54850</v>
      </c>
      <c r="AB19" s="1356">
        <f t="shared" si="59"/>
        <v>-6.1</v>
      </c>
      <c r="AC19" s="1373">
        <f t="shared" si="40"/>
        <v>74702</v>
      </c>
      <c r="AD19" s="1356">
        <f t="shared" si="60"/>
        <v>-5.3</v>
      </c>
      <c r="AE19" s="1373">
        <f t="shared" si="41"/>
        <v>21210</v>
      </c>
      <c r="AF19" s="1356">
        <f t="shared" si="61"/>
        <v>0.2</v>
      </c>
      <c r="AG19" s="1373">
        <f t="shared" si="42"/>
        <v>150762</v>
      </c>
      <c r="AH19" s="1356">
        <f t="shared" si="62"/>
        <v>-4.9000000000000004</v>
      </c>
      <c r="AJ19" s="1607">
        <v>1244575</v>
      </c>
      <c r="AK19" s="1607">
        <v>0</v>
      </c>
      <c r="AL19" s="1607">
        <v>122174</v>
      </c>
      <c r="AM19" s="1607">
        <v>0</v>
      </c>
      <c r="AN19" s="1607">
        <v>0</v>
      </c>
      <c r="AO19" s="1607">
        <v>1167129</v>
      </c>
      <c r="AP19" s="1607">
        <v>0</v>
      </c>
      <c r="AQ19" s="1607">
        <v>0</v>
      </c>
      <c r="AR19" s="1607">
        <v>68265513576</v>
      </c>
      <c r="AS19" s="1607">
        <v>0</v>
      </c>
      <c r="AT19" s="1607">
        <v>0</v>
      </c>
      <c r="AU19" s="1607">
        <v>7078640</v>
      </c>
      <c r="AV19" s="1607">
        <v>0</v>
      </c>
      <c r="AW19" s="1607">
        <v>0</v>
      </c>
      <c r="AX19" s="1607">
        <v>9862195</v>
      </c>
      <c r="AY19" s="1607">
        <v>0</v>
      </c>
      <c r="AZ19" s="1607">
        <v>0</v>
      </c>
      <c r="BA19" s="1607">
        <v>92972165117</v>
      </c>
      <c r="BB19" s="1607">
        <v>0</v>
      </c>
      <c r="BC19" s="1607">
        <v>0</v>
      </c>
      <c r="BD19" s="1607">
        <v>2041543</v>
      </c>
      <c r="BE19" s="1607">
        <v>0</v>
      </c>
      <c r="BF19" s="1607">
        <v>0</v>
      </c>
      <c r="BG19" s="1607">
        <v>3471110</v>
      </c>
      <c r="BH19" s="1607">
        <v>0</v>
      </c>
      <c r="BI19" s="1607">
        <v>0</v>
      </c>
      <c r="BJ19" s="1607">
        <v>26397377146</v>
      </c>
      <c r="BK19" s="1607">
        <v>0</v>
      </c>
      <c r="BL19" s="1607">
        <v>0</v>
      </c>
      <c r="BM19" s="1607">
        <v>9242357</v>
      </c>
      <c r="BN19" s="1607">
        <v>14500434</v>
      </c>
      <c r="BO19" s="1607">
        <v>187635055839</v>
      </c>
    </row>
    <row r="20" spans="1:67" s="8" customFormat="1" ht="33" customHeight="1">
      <c r="A20" s="868"/>
      <c r="B20" s="1102">
        <f>情報!$B$2</f>
        <v>3</v>
      </c>
      <c r="C20" s="1361">
        <f t="shared" si="43"/>
        <v>10.099</v>
      </c>
      <c r="D20" s="1362">
        <f t="shared" si="47"/>
        <v>2.9</v>
      </c>
      <c r="E20" s="1361">
        <f t="shared" si="44"/>
        <v>613.55899999999997</v>
      </c>
      <c r="F20" s="1362">
        <f t="shared" si="48"/>
        <v>7.9</v>
      </c>
      <c r="G20" s="1361">
        <f t="shared" si="45"/>
        <v>176.30699999999999</v>
      </c>
      <c r="H20" s="1362">
        <f t="shared" si="49"/>
        <v>7.5</v>
      </c>
      <c r="I20" s="1361">
        <f t="shared" si="46"/>
        <v>799.96500000000003</v>
      </c>
      <c r="J20" s="1362">
        <f t="shared" si="50"/>
        <v>7.7</v>
      </c>
      <c r="K20" s="1363">
        <f t="shared" si="31"/>
        <v>9.4</v>
      </c>
      <c r="L20" s="1362">
        <f t="shared" si="51"/>
        <v>-1.6</v>
      </c>
      <c r="M20" s="1363">
        <f t="shared" si="32"/>
        <v>1.39</v>
      </c>
      <c r="N20" s="1362">
        <f t="shared" si="52"/>
        <v>0</v>
      </c>
      <c r="O20" s="1363">
        <f t="shared" si="33"/>
        <v>1.63</v>
      </c>
      <c r="P20" s="1362">
        <f t="shared" si="53"/>
        <v>-4.0999999999999996</v>
      </c>
      <c r="Q20" s="1363">
        <f t="shared" si="34"/>
        <v>1.54</v>
      </c>
      <c r="R20" s="1362">
        <f t="shared" si="54"/>
        <v>-1.9</v>
      </c>
      <c r="S20" s="1364">
        <f t="shared" si="35"/>
        <v>62666</v>
      </c>
      <c r="T20" s="1362">
        <f t="shared" si="55"/>
        <v>7.1</v>
      </c>
      <c r="U20" s="1365">
        <f t="shared" si="36"/>
        <v>9755</v>
      </c>
      <c r="V20" s="1362">
        <f t="shared" si="56"/>
        <v>3.5</v>
      </c>
      <c r="W20" s="1365">
        <f t="shared" si="37"/>
        <v>7773</v>
      </c>
      <c r="X20" s="1362">
        <f t="shared" si="57"/>
        <v>2.2000000000000002</v>
      </c>
      <c r="Y20" s="1365">
        <f t="shared" si="38"/>
        <v>13362</v>
      </c>
      <c r="Z20" s="1362">
        <f t="shared" si="58"/>
        <v>3.3</v>
      </c>
      <c r="AA20" s="1365">
        <f t="shared" si="39"/>
        <v>59472</v>
      </c>
      <c r="AB20" s="1362">
        <f t="shared" si="59"/>
        <v>8.4</v>
      </c>
      <c r="AC20" s="1365">
        <f t="shared" si="40"/>
        <v>83247</v>
      </c>
      <c r="AD20" s="1362">
        <f t="shared" si="60"/>
        <v>11.4</v>
      </c>
      <c r="AE20" s="1365">
        <f t="shared" si="41"/>
        <v>22272</v>
      </c>
      <c r="AF20" s="1362">
        <f t="shared" si="61"/>
        <v>5</v>
      </c>
      <c r="AG20" s="1365">
        <f t="shared" si="42"/>
        <v>164992</v>
      </c>
      <c r="AH20" s="1362">
        <f t="shared" si="62"/>
        <v>9.4</v>
      </c>
      <c r="AJ20" s="1607">
        <v>1239305</v>
      </c>
      <c r="AK20" s="1607">
        <v>0</v>
      </c>
      <c r="AL20" s="1607">
        <v>125154</v>
      </c>
      <c r="AM20" s="1607">
        <v>0</v>
      </c>
      <c r="AN20" s="1607">
        <v>0</v>
      </c>
      <c r="AO20" s="1607">
        <v>1176153</v>
      </c>
      <c r="AP20" s="1607">
        <v>0</v>
      </c>
      <c r="AQ20" s="1607">
        <v>0</v>
      </c>
      <c r="AR20" s="1607">
        <v>73704535922</v>
      </c>
      <c r="AS20" s="1607">
        <v>0</v>
      </c>
      <c r="AT20" s="1607">
        <v>0</v>
      </c>
      <c r="AU20" s="1607">
        <v>7603870</v>
      </c>
      <c r="AV20" s="1607">
        <v>0</v>
      </c>
      <c r="AW20" s="1607">
        <v>0</v>
      </c>
      <c r="AX20" s="1607">
        <v>10575868</v>
      </c>
      <c r="AY20" s="1607">
        <v>0</v>
      </c>
      <c r="AZ20" s="1607">
        <v>0</v>
      </c>
      <c r="BA20" s="1607">
        <v>103168477572</v>
      </c>
      <c r="BB20" s="1607">
        <v>0</v>
      </c>
      <c r="BC20" s="1607">
        <v>0</v>
      </c>
      <c r="BD20" s="1607">
        <v>2184980</v>
      </c>
      <c r="BE20" s="1607">
        <v>0</v>
      </c>
      <c r="BF20" s="1607">
        <v>0</v>
      </c>
      <c r="BG20" s="1607">
        <v>3551076</v>
      </c>
      <c r="BH20" s="1607">
        <v>0</v>
      </c>
      <c r="BI20" s="1607">
        <v>0</v>
      </c>
      <c r="BJ20" s="1607">
        <v>27602050389</v>
      </c>
      <c r="BK20" s="1607">
        <v>0</v>
      </c>
      <c r="BL20" s="1607">
        <v>0</v>
      </c>
      <c r="BM20" s="1607">
        <v>9914004</v>
      </c>
      <c r="BN20" s="1607">
        <v>15303097</v>
      </c>
      <c r="BO20" s="1607">
        <v>204475063883</v>
      </c>
    </row>
    <row r="21" spans="1:67" ht="16.649999999999999" customHeight="1"/>
    <row r="22" spans="1:67" ht="21.9" customHeight="1"/>
    <row r="23" spans="1:67" ht="21.9" customHeight="1"/>
    <row r="24" spans="1:67" ht="21.9" customHeight="1"/>
    <row r="25" spans="1:67" ht="21.9" customHeight="1"/>
    <row r="26" spans="1:67" ht="21.9" customHeight="1"/>
    <row r="27" spans="1:67" ht="21.9" customHeight="1"/>
    <row r="28" spans="1:67" ht="21.9" customHeight="1"/>
    <row r="29" spans="1:67" ht="21.9" customHeight="1"/>
    <row r="30" spans="1:67" ht="21.9" customHeight="1"/>
    <row r="31" spans="1:67" ht="21.9" customHeight="1"/>
    <row r="32" spans="1:67" ht="21.9" customHeight="1"/>
    <row r="33" ht="21.9" customHeight="1"/>
    <row r="34" ht="21.9" customHeight="1"/>
    <row r="35" ht="21.9" customHeight="1"/>
    <row r="36" ht="21.9" customHeight="1"/>
    <row r="37" ht="21.9" customHeight="1"/>
    <row r="38" ht="21.9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</sheetData>
  <sheetProtection selectLockedCells="1" selectUnlockedCells="1"/>
  <mergeCells count="34">
    <mergeCell ref="C3:J3"/>
    <mergeCell ref="AU7:AW7"/>
    <mergeCell ref="BD7:BF7"/>
    <mergeCell ref="A10:A14"/>
    <mergeCell ref="BM5:BO5"/>
    <mergeCell ref="BJ7:BL7"/>
    <mergeCell ref="BD5:BL5"/>
    <mergeCell ref="AU5:BC5"/>
    <mergeCell ref="AL5:AT5"/>
    <mergeCell ref="AO7:AQ7"/>
    <mergeCell ref="AX7:AZ7"/>
    <mergeCell ref="BG7:BI7"/>
    <mergeCell ref="AR7:AT7"/>
    <mergeCell ref="BA7:BC7"/>
    <mergeCell ref="AA5:AB5"/>
    <mergeCell ref="O5:P5"/>
    <mergeCell ref="C5:D5"/>
    <mergeCell ref="E5:F5"/>
    <mergeCell ref="G5:H5"/>
    <mergeCell ref="I5:J5"/>
    <mergeCell ref="K5:L5"/>
    <mergeCell ref="K3:Q3"/>
    <mergeCell ref="S3:Z3"/>
    <mergeCell ref="AJ7:AK7"/>
    <mergeCell ref="AL7:AN7"/>
    <mergeCell ref="AA3:AH3"/>
    <mergeCell ref="M5:N5"/>
    <mergeCell ref="AC5:AD5"/>
    <mergeCell ref="AE5:AF5"/>
    <mergeCell ref="AG5:AH5"/>
    <mergeCell ref="Y5:Z5"/>
    <mergeCell ref="U5:V5"/>
    <mergeCell ref="W5:X5"/>
    <mergeCell ref="S5:T5"/>
  </mergeCells>
  <phoneticPr fontId="27"/>
  <pageMargins left="0.78740157480314965" right="0.78740157480314965" top="0.78740157480314965" bottom="0.59055118110236227" header="0.51181102362204722" footer="0.39370078740157483"/>
  <pageSetup paperSize="9" scale="70" firstPageNumber="44" fitToHeight="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BI62"/>
  <sheetViews>
    <sheetView view="pageBreakPreview" zoomScaleNormal="100" zoomScaleSheetLayoutView="100" workbookViewId="0"/>
  </sheetViews>
  <sheetFormatPr defaultColWidth="9" defaultRowHeight="13.2"/>
  <cols>
    <col min="1" max="1" width="3.88671875" style="675" customWidth="1" collapsed="1"/>
    <col min="2" max="2" width="12" style="675" customWidth="1" collapsed="1"/>
    <col min="3" max="18" width="11.88671875" style="675" customWidth="1" collapsed="1"/>
    <col min="19" max="19" width="4.33203125" style="675" customWidth="1" collapsed="1"/>
    <col min="20" max="20" width="7.33203125" style="675" hidden="1" customWidth="1" collapsed="1"/>
    <col min="21" max="21" width="7.109375" style="675" hidden="1" customWidth="1" collapsed="1"/>
    <col min="22" max="22" width="8.88671875" style="675" hidden="1" customWidth="1" collapsed="1"/>
    <col min="23" max="23" width="14.21875" style="675" hidden="1" customWidth="1" collapsed="1"/>
    <col min="24" max="24" width="9.44140625" style="675" hidden="1" customWidth="1" collapsed="1"/>
    <col min="25" max="25" width="10.33203125" style="675" hidden="1" customWidth="1" collapsed="1"/>
    <col min="26" max="26" width="14.21875" style="675" hidden="1" customWidth="1" collapsed="1"/>
    <col min="27" max="27" width="8.6640625" style="675" hidden="1" customWidth="1" collapsed="1"/>
    <col min="28" max="28" width="8.88671875" style="675" hidden="1" customWidth="1" collapsed="1"/>
    <col min="29" max="29" width="13.6640625" style="675" hidden="1" customWidth="1" collapsed="1"/>
    <col min="30" max="31" width="9.33203125" style="675" hidden="1" customWidth="1" collapsed="1"/>
    <col min="32" max="32" width="14.109375" style="675" hidden="1" customWidth="1" collapsed="1"/>
    <col min="33" max="33" width="9.88671875" style="675" hidden="1" customWidth="1" collapsed="1"/>
    <col min="34" max="34" width="14.109375" style="675" customWidth="1" collapsed="1"/>
    <col min="35" max="61" width="11.6640625" style="675" customWidth="1" collapsed="1"/>
    <col min="62" max="16384" width="9" style="675" collapsed="1"/>
  </cols>
  <sheetData>
    <row r="1" spans="1:35" s="3" customFormat="1" ht="24" customHeight="1">
      <c r="A1" s="22" t="s">
        <v>533</v>
      </c>
      <c r="F1"/>
      <c r="G1"/>
      <c r="H1"/>
      <c r="I1"/>
      <c r="J1"/>
      <c r="K1"/>
      <c r="L1"/>
      <c r="M1"/>
      <c r="N1"/>
      <c r="O1"/>
      <c r="P1"/>
      <c r="Q1"/>
      <c r="R1"/>
    </row>
    <row r="2" spans="1:35" ht="24" customHeight="1">
      <c r="A2" s="161"/>
      <c r="B2" s="757" t="s">
        <v>177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740"/>
    </row>
    <row r="3" spans="1:35" s="680" customFormat="1" ht="12" customHeight="1">
      <c r="A3" s="679"/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739"/>
      <c r="Q3" s="739"/>
      <c r="R3" s="739"/>
      <c r="S3" s="738"/>
      <c r="T3" s="738"/>
    </row>
    <row r="4" spans="1:35" s="160" customFormat="1" ht="24" customHeight="1">
      <c r="A4" s="938" t="s">
        <v>118</v>
      </c>
      <c r="B4" s="939"/>
      <c r="C4" s="940"/>
      <c r="D4" s="941" t="s">
        <v>512</v>
      </c>
      <c r="E4" s="942"/>
      <c r="F4" s="943"/>
      <c r="G4" s="940"/>
      <c r="H4" s="941" t="s">
        <v>511</v>
      </c>
      <c r="I4" s="942"/>
      <c r="J4" s="943"/>
      <c r="K4" s="940"/>
      <c r="L4" s="941" t="s">
        <v>510</v>
      </c>
      <c r="M4" s="942"/>
      <c r="N4" s="943"/>
      <c r="O4" s="940"/>
      <c r="P4" s="941" t="s">
        <v>509</v>
      </c>
      <c r="Q4" s="942"/>
      <c r="R4" s="943"/>
      <c r="S4" s="722"/>
      <c r="T4" s="683" t="s">
        <v>518</v>
      </c>
      <c r="U4" s="737"/>
      <c r="V4" s="735"/>
      <c r="W4" s="735"/>
      <c r="X4" s="735"/>
      <c r="Y4" s="735"/>
      <c r="Z4" s="737"/>
      <c r="AA4" s="735"/>
      <c r="AB4" s="735"/>
      <c r="AC4" s="735"/>
      <c r="AD4" s="735"/>
      <c r="AE4" s="737"/>
      <c r="AF4" s="735"/>
      <c r="AG4" s="735"/>
      <c r="AH4" s="735"/>
      <c r="AI4" s="700"/>
    </row>
    <row r="5" spans="1:35" s="734" customFormat="1" ht="6" customHeight="1">
      <c r="A5" s="801"/>
      <c r="B5" s="944"/>
      <c r="C5" s="945"/>
      <c r="D5" s="946"/>
      <c r="E5" s="947"/>
      <c r="F5" s="948"/>
      <c r="G5" s="945"/>
      <c r="H5" s="946"/>
      <c r="I5" s="947"/>
      <c r="J5" s="948"/>
      <c r="K5" s="949"/>
      <c r="L5" s="950"/>
      <c r="M5" s="951"/>
      <c r="N5" s="952"/>
      <c r="O5" s="949"/>
      <c r="P5" s="950"/>
      <c r="Q5" s="951"/>
      <c r="R5" s="952"/>
      <c r="S5" s="231"/>
      <c r="T5" s="1409"/>
      <c r="U5" s="737"/>
      <c r="V5" s="735"/>
      <c r="W5" s="735"/>
      <c r="X5" s="735"/>
      <c r="Y5" s="735"/>
      <c r="Z5" s="737"/>
      <c r="AA5" s="735"/>
      <c r="AB5" s="735"/>
      <c r="AC5" s="735"/>
      <c r="AD5" s="735"/>
      <c r="AE5" s="737"/>
      <c r="AF5" s="735"/>
      <c r="AG5" s="735"/>
      <c r="AH5" s="735"/>
      <c r="AI5" s="735"/>
    </row>
    <row r="6" spans="1:35" s="734" customFormat="1" ht="15.75" customHeight="1">
      <c r="A6" s="953" t="s">
        <v>119</v>
      </c>
      <c r="B6" s="954"/>
      <c r="C6" s="955" t="s">
        <v>171</v>
      </c>
      <c r="D6" s="956" t="s">
        <v>172</v>
      </c>
      <c r="E6" s="956" t="s">
        <v>173</v>
      </c>
      <c r="F6" s="957" t="s">
        <v>30</v>
      </c>
      <c r="G6" s="955" t="s">
        <v>171</v>
      </c>
      <c r="H6" s="956" t="s">
        <v>172</v>
      </c>
      <c r="I6" s="956" t="s">
        <v>173</v>
      </c>
      <c r="J6" s="957" t="s">
        <v>30</v>
      </c>
      <c r="K6" s="955" t="s">
        <v>171</v>
      </c>
      <c r="L6" s="956" t="s">
        <v>172</v>
      </c>
      <c r="M6" s="956" t="s">
        <v>173</v>
      </c>
      <c r="N6" s="957" t="s">
        <v>30</v>
      </c>
      <c r="O6" s="955" t="s">
        <v>171</v>
      </c>
      <c r="P6" s="956" t="s">
        <v>172</v>
      </c>
      <c r="Q6" s="956" t="s">
        <v>173</v>
      </c>
      <c r="R6" s="957" t="s">
        <v>30</v>
      </c>
      <c r="S6" s="713"/>
      <c r="T6" s="720" t="s">
        <v>507</v>
      </c>
      <c r="U6" s="719" t="s">
        <v>490</v>
      </c>
      <c r="V6" s="718"/>
      <c r="W6" s="717"/>
      <c r="X6" s="719" t="s">
        <v>489</v>
      </c>
      <c r="Y6" s="718"/>
      <c r="Z6" s="717"/>
      <c r="AA6" s="719" t="s">
        <v>488</v>
      </c>
      <c r="AB6" s="718"/>
      <c r="AC6" s="717"/>
      <c r="AD6" s="719" t="s">
        <v>482</v>
      </c>
      <c r="AE6" s="718"/>
      <c r="AF6" s="717"/>
      <c r="AG6" s="1398" t="s">
        <v>502</v>
      </c>
      <c r="AH6" s="735"/>
      <c r="AI6" s="735"/>
    </row>
    <row r="7" spans="1:35" s="734" customFormat="1" ht="6" customHeight="1">
      <c r="A7" s="775"/>
      <c r="B7" s="958"/>
      <c r="C7" s="959"/>
      <c r="D7" s="960"/>
      <c r="E7" s="960"/>
      <c r="F7" s="961"/>
      <c r="G7" s="959"/>
      <c r="H7" s="960"/>
      <c r="I7" s="960"/>
      <c r="J7" s="961"/>
      <c r="K7" s="959"/>
      <c r="L7" s="960"/>
      <c r="M7" s="960"/>
      <c r="N7" s="961"/>
      <c r="O7" s="959"/>
      <c r="P7" s="960"/>
      <c r="Q7" s="960"/>
      <c r="R7" s="961"/>
      <c r="S7" s="713"/>
      <c r="AI7" s="735"/>
    </row>
    <row r="8" spans="1:35" s="682" customFormat="1" ht="12" customHeight="1">
      <c r="A8" s="962"/>
      <c r="B8" s="711"/>
      <c r="C8" s="710"/>
      <c r="D8" s="733"/>
      <c r="E8" s="733"/>
      <c r="F8" s="732"/>
      <c r="G8" s="707" t="s">
        <v>175</v>
      </c>
      <c r="H8" s="706" t="s">
        <v>175</v>
      </c>
      <c r="I8" s="706" t="s">
        <v>175</v>
      </c>
      <c r="J8" s="731" t="s">
        <v>175</v>
      </c>
      <c r="K8" s="707" t="s">
        <v>176</v>
      </c>
      <c r="L8" s="706" t="s">
        <v>176</v>
      </c>
      <c r="M8" s="706" t="s">
        <v>176</v>
      </c>
      <c r="N8" s="705" t="s">
        <v>176</v>
      </c>
      <c r="O8" s="707" t="s">
        <v>176</v>
      </c>
      <c r="P8" s="706" t="s">
        <v>176</v>
      </c>
      <c r="Q8" s="706" t="s">
        <v>176</v>
      </c>
      <c r="R8" s="705" t="s">
        <v>176</v>
      </c>
      <c r="T8" s="704"/>
      <c r="U8" s="703" t="s">
        <v>498</v>
      </c>
      <c r="V8" s="703" t="s">
        <v>497</v>
      </c>
      <c r="W8" s="703" t="s">
        <v>496</v>
      </c>
      <c r="X8" s="703" t="s">
        <v>498</v>
      </c>
      <c r="Y8" s="703" t="s">
        <v>497</v>
      </c>
      <c r="Z8" s="703" t="s">
        <v>496</v>
      </c>
      <c r="AA8" s="703" t="s">
        <v>498</v>
      </c>
      <c r="AB8" s="703" t="s">
        <v>497</v>
      </c>
      <c r="AC8" s="703" t="s">
        <v>496</v>
      </c>
      <c r="AD8" s="703" t="s">
        <v>501</v>
      </c>
      <c r="AE8" s="703" t="s">
        <v>500</v>
      </c>
      <c r="AF8" s="703" t="s">
        <v>499</v>
      </c>
      <c r="AG8" s="702"/>
      <c r="AH8" s="701"/>
    </row>
    <row r="9" spans="1:35" s="682" customFormat="1" ht="12" customHeight="1">
      <c r="A9" s="1396"/>
      <c r="B9" s="711"/>
      <c r="C9" s="710"/>
      <c r="D9" s="733"/>
      <c r="E9" s="733"/>
      <c r="F9" s="732"/>
      <c r="G9" s="707"/>
      <c r="H9" s="706"/>
      <c r="I9" s="706"/>
      <c r="J9" s="705"/>
      <c r="K9" s="707"/>
      <c r="L9" s="706"/>
      <c r="M9" s="706"/>
      <c r="N9" s="705"/>
      <c r="O9" s="707"/>
      <c r="P9" s="706"/>
      <c r="Q9" s="706"/>
      <c r="R9" s="705"/>
      <c r="T9" s="704"/>
      <c r="U9" s="1427" t="s">
        <v>1092</v>
      </c>
      <c r="V9" s="1427" t="s">
        <v>870</v>
      </c>
      <c r="W9" s="1427" t="s">
        <v>871</v>
      </c>
      <c r="X9" s="1427" t="s">
        <v>872</v>
      </c>
      <c r="Y9" s="1427" t="s">
        <v>873</v>
      </c>
      <c r="Z9" s="1427" t="s">
        <v>874</v>
      </c>
      <c r="AA9" s="1427" t="s">
        <v>875</v>
      </c>
      <c r="AB9" s="1427" t="s">
        <v>876</v>
      </c>
      <c r="AC9" s="1427" t="s">
        <v>877</v>
      </c>
      <c r="AD9" s="1427" t="s">
        <v>878</v>
      </c>
      <c r="AE9" s="1427" t="s">
        <v>879</v>
      </c>
      <c r="AF9" s="1427" t="s">
        <v>880</v>
      </c>
      <c r="AG9" s="1428" t="s">
        <v>929</v>
      </c>
      <c r="AH9" s="701"/>
    </row>
    <row r="10" spans="1:35" s="160" customFormat="1" ht="22.2" customHeight="1">
      <c r="A10" s="726"/>
      <c r="B10" s="967" t="s">
        <v>515</v>
      </c>
      <c r="C10" s="1378">
        <f>IF(ISERR(U10/AG10),"－",ROUND(U10/AG10*100,3))</f>
        <v>29.212</v>
      </c>
      <c r="D10" s="1379">
        <f>IF(ISERR(X10/AG10),"－",ROUND(X10/AG10*100,3))</f>
        <v>1179.43</v>
      </c>
      <c r="E10" s="1379">
        <f>IF(ISERR(AA10/AG10),"－",ROUND(AA10/AG10*100,3))</f>
        <v>274.49700000000001</v>
      </c>
      <c r="F10" s="1380">
        <f>IF(ISERR(AD10/AG10),"－",ROUND(AD10/AG10*100,3))</f>
        <v>1483.1389999999999</v>
      </c>
      <c r="G10" s="1381">
        <f>IF(ISERR(V10/U10),"－",ROUND(V10/U10,2))</f>
        <v>14.02</v>
      </c>
      <c r="H10" s="1382">
        <f>IF(ISERR(Y10/X10),"－",ROUND(Y10/X10,2))</f>
        <v>1.56</v>
      </c>
      <c r="I10" s="1382">
        <f>IF(ISERR(AB10/AA10),"－",ROUND(AB10/AA10,2))</f>
        <v>1.74</v>
      </c>
      <c r="J10" s="1383">
        <f>IF(ISERR(AE10/AD10),"－",ROUND(AE10/AD10,2))</f>
        <v>1.84</v>
      </c>
      <c r="K10" s="1384">
        <f>IF(ISERR(W10/V10),"－",ROUND(W10/V10,0))</f>
        <v>48808</v>
      </c>
      <c r="L10" s="1385">
        <f>IF(ISERR(Z10/Y10),"－",ROUND(Z10/Y10,0))</f>
        <v>11298</v>
      </c>
      <c r="M10" s="1385">
        <f>IF(ISERR(AC10/AB10),"－",ROUND(AC10/AB10,0))</f>
        <v>7365</v>
      </c>
      <c r="N10" s="1386">
        <f>IF(ISERR(AF10/AE10),"－",ROUND(AF10/AE10,0))</f>
        <v>16246</v>
      </c>
      <c r="O10" s="1384">
        <f>IF(ISERR(W10/AG10),"－",ROUND(W10/AG10,0))</f>
        <v>199862</v>
      </c>
      <c r="P10" s="1385">
        <f>IF(ISERR(Z10/AG10),"－",ROUND(Z10/AG10,0))</f>
        <v>207884</v>
      </c>
      <c r="Q10" s="1385">
        <f>IF(ISERR(AC10/AG10),"－",ROUND(AC10/AG10,0))</f>
        <v>35080</v>
      </c>
      <c r="R10" s="1386">
        <f>IF(ISERR(AF10/AG10),"－",ROUND(AF10/AG10,0))</f>
        <v>442826</v>
      </c>
      <c r="S10" s="730"/>
      <c r="T10" s="699" t="s">
        <v>426</v>
      </c>
      <c r="U10" s="1407">
        <v>280343</v>
      </c>
      <c r="V10" s="1407">
        <v>3929778</v>
      </c>
      <c r="W10" s="1407">
        <v>191804322542</v>
      </c>
      <c r="X10" s="1407">
        <v>11318816</v>
      </c>
      <c r="Y10" s="1407">
        <v>17658267</v>
      </c>
      <c r="Z10" s="1407">
        <v>199503246102</v>
      </c>
      <c r="AA10" s="1407">
        <v>2634306</v>
      </c>
      <c r="AB10" s="1407">
        <v>4571033</v>
      </c>
      <c r="AC10" s="1407">
        <v>33665693705</v>
      </c>
      <c r="AD10" s="1407">
        <v>14233465</v>
      </c>
      <c r="AE10" s="1407">
        <v>26159078</v>
      </c>
      <c r="AF10" s="1407">
        <v>424973262349</v>
      </c>
      <c r="AG10" s="1407">
        <v>959685</v>
      </c>
      <c r="AH10" s="701"/>
      <c r="AI10" s="698"/>
    </row>
    <row r="11" spans="1:35" s="160" customFormat="1" ht="22.2" customHeight="1">
      <c r="A11" s="725" t="s">
        <v>514</v>
      </c>
      <c r="B11" s="943" t="s">
        <v>513</v>
      </c>
      <c r="C11" s="1387">
        <f>IF(ISERR(U11/AG11),"－",ROUND(U11/AG11*100,3))</f>
        <v>25.594999999999999</v>
      </c>
      <c r="D11" s="1388">
        <f>IF(ISERR(X11/AG11),"－",ROUND(X11/AG11*100,3))</f>
        <v>1115.165</v>
      </c>
      <c r="E11" s="1388">
        <f>IF(ISERR(AA11/AG11),"－",ROUND(AA11/AG11*100,3))</f>
        <v>236.33699999999999</v>
      </c>
      <c r="F11" s="1389">
        <f>IF(ISERR(AD11/AG11),"－",ROUND(AD11/AG11*100,3))</f>
        <v>1377.097</v>
      </c>
      <c r="G11" s="1390">
        <f>IF(ISERR(V11/U11),"－",ROUND(V11/U11,2))</f>
        <v>10.97</v>
      </c>
      <c r="H11" s="1391">
        <f>IF(ISERR(Y11/X11),"－",ROUND(Y11/X11,2))</f>
        <v>1.45</v>
      </c>
      <c r="I11" s="1391">
        <f>IF(ISERR(AB11/AA11),"－",ROUND(AB11/AA11,2))</f>
        <v>1.78</v>
      </c>
      <c r="J11" s="1392">
        <f>IF(ISERR(AE11/AD11),"－",ROUND(AE11/AD11,2))</f>
        <v>1.69</v>
      </c>
      <c r="K11" s="1393">
        <f>IF(ISERR(W11/V11),"－",ROUND(W11/V11,0))</f>
        <v>61728</v>
      </c>
      <c r="L11" s="1394">
        <f>IF(ISERR(Z11/Y11),"－",ROUND(Z11/Y11,0))</f>
        <v>11522</v>
      </c>
      <c r="M11" s="1394">
        <f>IF(ISERR(AC11/AB11),"－",ROUND(AC11/AB11,0))</f>
        <v>7699</v>
      </c>
      <c r="N11" s="1395">
        <f>IF(ISERR(AF11/AE11),"－",ROUND(AF11/AE11,0))</f>
        <v>16904</v>
      </c>
      <c r="O11" s="1393">
        <f>IF(ISERR(W11/AG11),"－",ROUND(W11/AG11,0))</f>
        <v>173363</v>
      </c>
      <c r="P11" s="1394">
        <f>IF(ISERR(Z11/AG11),"－",ROUND(Z11/AG11,0))</f>
        <v>186572</v>
      </c>
      <c r="Q11" s="1394">
        <f>IF(ISERR(AC11/AG11),"－",ROUND(AC11/AG11,0))</f>
        <v>32406</v>
      </c>
      <c r="R11" s="1395">
        <f>IF(ISERR(AF11/AG11),"－",ROUND(AF11/AG11,0))</f>
        <v>392341</v>
      </c>
      <c r="S11" s="729"/>
      <c r="T11" s="673" t="s">
        <v>155</v>
      </c>
      <c r="U11" s="1407">
        <v>36812</v>
      </c>
      <c r="V11" s="1407">
        <v>403937</v>
      </c>
      <c r="W11" s="1407">
        <v>24934242172</v>
      </c>
      <c r="X11" s="1407">
        <v>1603908</v>
      </c>
      <c r="Y11" s="1407">
        <v>2328848</v>
      </c>
      <c r="Z11" s="1407">
        <v>26834079964</v>
      </c>
      <c r="AA11" s="1407">
        <v>339917</v>
      </c>
      <c r="AB11" s="1407">
        <v>605362</v>
      </c>
      <c r="AC11" s="1407">
        <v>4660890800</v>
      </c>
      <c r="AD11" s="1407">
        <v>1980637</v>
      </c>
      <c r="AE11" s="1407">
        <v>3338147</v>
      </c>
      <c r="AF11" s="1407">
        <v>56429212936</v>
      </c>
      <c r="AG11" s="1407">
        <v>143827</v>
      </c>
      <c r="AH11" s="696"/>
      <c r="AI11" s="698"/>
    </row>
    <row r="12" spans="1:35" s="515" customFormat="1" ht="21" customHeight="1">
      <c r="AH12" s="758"/>
    </row>
    <row r="13" spans="1:35" s="160" customFormat="1" ht="21" customHeight="1">
      <c r="A13" s="722"/>
      <c r="E13" s="1103"/>
      <c r="F13" s="1103"/>
      <c r="G13" s="1104"/>
      <c r="H13" s="1104"/>
      <c r="I13" s="1104"/>
      <c r="J13" s="1104"/>
      <c r="K13" s="723"/>
      <c r="L13" s="723"/>
      <c r="M13" s="723"/>
      <c r="N13" s="723"/>
      <c r="O13" s="723"/>
      <c r="P13" s="723"/>
      <c r="Q13" s="723"/>
      <c r="R13" s="723"/>
      <c r="S13" s="676"/>
      <c r="T13" s="676"/>
    </row>
    <row r="14" spans="1:35" ht="24" customHeight="1">
      <c r="A14" s="620"/>
      <c r="B14" s="757" t="s">
        <v>535</v>
      </c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161"/>
      <c r="T14" s="740"/>
    </row>
    <row r="15" spans="1:35" s="680" customFormat="1" ht="12" customHeight="1">
      <c r="A15" s="679"/>
      <c r="B15" s="679"/>
      <c r="C15" s="679"/>
      <c r="D15" s="679"/>
      <c r="E15" s="679"/>
      <c r="F15" s="679"/>
      <c r="G15" s="679"/>
      <c r="H15" s="679"/>
      <c r="I15" s="679"/>
      <c r="J15" s="679"/>
      <c r="K15" s="679"/>
      <c r="L15" s="679"/>
      <c r="M15" s="679"/>
      <c r="N15" s="679"/>
      <c r="O15" s="679"/>
      <c r="P15" s="739"/>
      <c r="Q15" s="739"/>
      <c r="R15" s="739"/>
      <c r="S15" s="738"/>
      <c r="T15" s="738"/>
    </row>
    <row r="16" spans="1:35" s="160" customFormat="1" ht="24" customHeight="1">
      <c r="A16" s="938" t="s">
        <v>118</v>
      </c>
      <c r="B16" s="939"/>
      <c r="C16" s="940"/>
      <c r="D16" s="941" t="s">
        <v>512</v>
      </c>
      <c r="E16" s="942"/>
      <c r="F16" s="943"/>
      <c r="G16" s="940"/>
      <c r="H16" s="941" t="s">
        <v>511</v>
      </c>
      <c r="I16" s="942"/>
      <c r="J16" s="943"/>
      <c r="K16" s="940"/>
      <c r="L16" s="941" t="s">
        <v>510</v>
      </c>
      <c r="M16" s="942"/>
      <c r="N16" s="943"/>
      <c r="O16" s="940"/>
      <c r="P16" s="941" t="s">
        <v>509</v>
      </c>
      <c r="Q16" s="942"/>
      <c r="R16" s="943"/>
      <c r="S16" s="722"/>
      <c r="T16" s="683" t="s">
        <v>517</v>
      </c>
      <c r="U16" s="737"/>
      <c r="V16" s="735"/>
      <c r="W16" s="735"/>
      <c r="X16" s="735"/>
      <c r="Y16" s="735"/>
      <c r="Z16" s="737"/>
      <c r="AA16" s="735"/>
      <c r="AB16" s="735"/>
      <c r="AC16" s="735"/>
      <c r="AD16" s="735"/>
      <c r="AE16" s="737"/>
      <c r="AF16" s="735"/>
      <c r="AG16" s="735"/>
      <c r="AH16" s="700"/>
      <c r="AI16" s="700"/>
    </row>
    <row r="17" spans="1:35" s="734" customFormat="1" ht="6" customHeight="1">
      <c r="A17" s="801"/>
      <c r="B17" s="944"/>
      <c r="C17" s="945"/>
      <c r="D17" s="946"/>
      <c r="E17" s="947"/>
      <c r="F17" s="948"/>
      <c r="G17" s="945"/>
      <c r="H17" s="946"/>
      <c r="I17" s="947"/>
      <c r="J17" s="948"/>
      <c r="K17" s="949"/>
      <c r="L17" s="950"/>
      <c r="M17" s="951"/>
      <c r="N17" s="952"/>
      <c r="O17" s="949"/>
      <c r="P17" s="950"/>
      <c r="Q17" s="951"/>
      <c r="R17" s="952"/>
      <c r="S17" s="231"/>
      <c r="T17" s="1409"/>
      <c r="U17" s="737"/>
      <c r="V17" s="735"/>
      <c r="W17" s="735"/>
      <c r="X17" s="735"/>
      <c r="Y17" s="735"/>
      <c r="Z17" s="737"/>
      <c r="AA17" s="735"/>
      <c r="AB17" s="735"/>
      <c r="AC17" s="735"/>
      <c r="AD17" s="735"/>
      <c r="AE17" s="737"/>
      <c r="AF17" s="735"/>
      <c r="AG17" s="735"/>
      <c r="AH17" s="735"/>
      <c r="AI17" s="735"/>
    </row>
    <row r="18" spans="1:35" s="734" customFormat="1" ht="15.75" customHeight="1">
      <c r="A18" s="953" t="s">
        <v>119</v>
      </c>
      <c r="B18" s="954"/>
      <c r="C18" s="955" t="s">
        <v>171</v>
      </c>
      <c r="D18" s="956" t="s">
        <v>172</v>
      </c>
      <c r="E18" s="956" t="s">
        <v>173</v>
      </c>
      <c r="F18" s="957" t="s">
        <v>30</v>
      </c>
      <c r="G18" s="955" t="s">
        <v>171</v>
      </c>
      <c r="H18" s="956" t="s">
        <v>172</v>
      </c>
      <c r="I18" s="956" t="s">
        <v>173</v>
      </c>
      <c r="J18" s="957" t="s">
        <v>30</v>
      </c>
      <c r="K18" s="955" t="s">
        <v>171</v>
      </c>
      <c r="L18" s="956" t="s">
        <v>172</v>
      </c>
      <c r="M18" s="956" t="s">
        <v>173</v>
      </c>
      <c r="N18" s="957" t="s">
        <v>30</v>
      </c>
      <c r="O18" s="955" t="s">
        <v>171</v>
      </c>
      <c r="P18" s="956" t="s">
        <v>172</v>
      </c>
      <c r="Q18" s="956" t="s">
        <v>173</v>
      </c>
      <c r="R18" s="957" t="s">
        <v>30</v>
      </c>
      <c r="S18" s="713"/>
      <c r="T18" s="720" t="s">
        <v>507</v>
      </c>
      <c r="U18" s="719" t="s">
        <v>490</v>
      </c>
      <c r="V18" s="718"/>
      <c r="W18" s="717"/>
      <c r="X18" s="719" t="s">
        <v>489</v>
      </c>
      <c r="Y18" s="718"/>
      <c r="Z18" s="717"/>
      <c r="AA18" s="719" t="s">
        <v>488</v>
      </c>
      <c r="AB18" s="718"/>
      <c r="AC18" s="717"/>
      <c r="AD18" s="719" t="s">
        <v>482</v>
      </c>
      <c r="AE18" s="718"/>
      <c r="AF18" s="717"/>
      <c r="AG18" s="1398" t="s">
        <v>502</v>
      </c>
      <c r="AH18" s="735"/>
      <c r="AI18" s="735"/>
    </row>
    <row r="19" spans="1:35" s="734" customFormat="1" ht="6" customHeight="1">
      <c r="A19" s="166"/>
      <c r="B19" s="736"/>
      <c r="C19" s="716"/>
      <c r="D19" s="715"/>
      <c r="E19" s="715"/>
      <c r="F19" s="714"/>
      <c r="G19" s="716"/>
      <c r="H19" s="715"/>
      <c r="I19" s="715"/>
      <c r="J19" s="714"/>
      <c r="K19" s="716"/>
      <c r="L19" s="715"/>
      <c r="M19" s="715"/>
      <c r="N19" s="714"/>
      <c r="O19" s="716"/>
      <c r="P19" s="715"/>
      <c r="Q19" s="715"/>
      <c r="R19" s="714"/>
      <c r="S19" s="713"/>
      <c r="AH19" s="735"/>
      <c r="AI19" s="735"/>
    </row>
    <row r="20" spans="1:35" s="682" customFormat="1" ht="12" customHeight="1">
      <c r="A20" s="727"/>
      <c r="B20" s="711"/>
      <c r="C20" s="710"/>
      <c r="D20" s="733"/>
      <c r="E20" s="733"/>
      <c r="F20" s="732"/>
      <c r="G20" s="707" t="s">
        <v>175</v>
      </c>
      <c r="H20" s="706" t="s">
        <v>175</v>
      </c>
      <c r="I20" s="706" t="s">
        <v>175</v>
      </c>
      <c r="J20" s="731" t="s">
        <v>175</v>
      </c>
      <c r="K20" s="707" t="s">
        <v>176</v>
      </c>
      <c r="L20" s="706" t="s">
        <v>176</v>
      </c>
      <c r="M20" s="706" t="s">
        <v>176</v>
      </c>
      <c r="N20" s="705" t="s">
        <v>176</v>
      </c>
      <c r="O20" s="707" t="s">
        <v>176</v>
      </c>
      <c r="P20" s="706" t="s">
        <v>176</v>
      </c>
      <c r="Q20" s="706" t="s">
        <v>176</v>
      </c>
      <c r="R20" s="705" t="s">
        <v>176</v>
      </c>
      <c r="T20" s="704"/>
      <c r="U20" s="703" t="s">
        <v>498</v>
      </c>
      <c r="V20" s="703" t="s">
        <v>497</v>
      </c>
      <c r="W20" s="703" t="s">
        <v>496</v>
      </c>
      <c r="X20" s="703" t="s">
        <v>498</v>
      </c>
      <c r="Y20" s="703" t="s">
        <v>497</v>
      </c>
      <c r="Z20" s="703" t="s">
        <v>496</v>
      </c>
      <c r="AA20" s="703" t="s">
        <v>498</v>
      </c>
      <c r="AB20" s="703" t="s">
        <v>497</v>
      </c>
      <c r="AC20" s="703" t="s">
        <v>496</v>
      </c>
      <c r="AD20" s="703" t="s">
        <v>501</v>
      </c>
      <c r="AE20" s="703" t="s">
        <v>500</v>
      </c>
      <c r="AF20" s="703" t="s">
        <v>499</v>
      </c>
      <c r="AG20" s="702"/>
      <c r="AH20" s="701"/>
    </row>
    <row r="21" spans="1:35" s="682" customFormat="1" ht="12" customHeight="1">
      <c r="A21" s="1397"/>
      <c r="B21" s="711"/>
      <c r="C21" s="710"/>
      <c r="D21" s="733"/>
      <c r="E21" s="733"/>
      <c r="F21" s="732"/>
      <c r="G21" s="707"/>
      <c r="H21" s="706"/>
      <c r="I21" s="706"/>
      <c r="J21" s="705"/>
      <c r="K21" s="707"/>
      <c r="L21" s="706"/>
      <c r="M21" s="706"/>
      <c r="N21" s="705"/>
      <c r="O21" s="707"/>
      <c r="P21" s="706"/>
      <c r="Q21" s="706"/>
      <c r="R21" s="705"/>
      <c r="T21" s="704"/>
      <c r="U21" s="1427" t="s">
        <v>881</v>
      </c>
      <c r="V21" s="1427" t="s">
        <v>882</v>
      </c>
      <c r="W21" s="1427" t="s">
        <v>883</v>
      </c>
      <c r="X21" s="1427" t="s">
        <v>884</v>
      </c>
      <c r="Y21" s="1427" t="s">
        <v>885</v>
      </c>
      <c r="Z21" s="1427" t="s">
        <v>886</v>
      </c>
      <c r="AA21" s="1427" t="s">
        <v>887</v>
      </c>
      <c r="AB21" s="1427" t="s">
        <v>888</v>
      </c>
      <c r="AC21" s="1427" t="s">
        <v>889</v>
      </c>
      <c r="AD21" s="1427" t="s">
        <v>890</v>
      </c>
      <c r="AE21" s="1427" t="s">
        <v>891</v>
      </c>
      <c r="AF21" s="1427" t="s">
        <v>892</v>
      </c>
      <c r="AG21" s="1428" t="s">
        <v>930</v>
      </c>
      <c r="AH21" s="701"/>
    </row>
    <row r="22" spans="1:35" s="160" customFormat="1" ht="22.2" customHeight="1">
      <c r="A22" s="726"/>
      <c r="B22" s="967" t="s">
        <v>515</v>
      </c>
      <c r="C22" s="1378">
        <f>IF(ISERR(U22/AG22),"－",ROUND(U22/AG22*100,3))</f>
        <v>32.465000000000003</v>
      </c>
      <c r="D22" s="1379">
        <f>IF(ISERR(X22/AG22),"－",ROUND(X22/AG22*100,3))</f>
        <v>1259.9490000000001</v>
      </c>
      <c r="E22" s="1379">
        <f>IF(ISERR(AA22/AG22),"－",ROUND(AA22/AG22*100,3))</f>
        <v>281.084</v>
      </c>
      <c r="F22" s="1380">
        <f>IF(ISERR(AD22/AG22),"－",ROUND(AD22/AG22*100,3))</f>
        <v>1573.4970000000001</v>
      </c>
      <c r="G22" s="1381">
        <f>IF(ISERR(V22/U22),"－",ROUND(V22/U22,2))</f>
        <v>14.08</v>
      </c>
      <c r="H22" s="1382">
        <f>IF(ISERR(Y22/X22),"－",ROUND(Y22/X22,2))</f>
        <v>1.58</v>
      </c>
      <c r="I22" s="1382">
        <f>IF(ISERR(AB22/AA22),"－",ROUND(AB22/AA22,2))</f>
        <v>1.75</v>
      </c>
      <c r="J22" s="1383">
        <f>IF(ISERR(AE22/AD22),"－",ROUND(AE22/AD22,2))</f>
        <v>1.87</v>
      </c>
      <c r="K22" s="1384">
        <f>IF(ISERR(W22/V22),"－",ROUND(W22/V22,0))</f>
        <v>48422</v>
      </c>
      <c r="L22" s="1385">
        <f>IF(ISERR(Z22/Y22),"－",ROUND(Z22/Y22,0))</f>
        <v>11173</v>
      </c>
      <c r="M22" s="1385">
        <f>IF(ISERR(AC22/AB22),"－",ROUND(AC22/AB22,0))</f>
        <v>7424</v>
      </c>
      <c r="N22" s="1386">
        <f>IF(ISERR(AF22/AE22),"－",ROUND(AF22/AE22,0))</f>
        <v>16331</v>
      </c>
      <c r="O22" s="1384">
        <f>IF(ISERR(W22/AG22),"－",ROUND(W22/AG22,0))</f>
        <v>221324</v>
      </c>
      <c r="P22" s="1385">
        <f>IF(ISERR(Z22/AG22),"－",ROUND(Z22/AG22,0))</f>
        <v>222889</v>
      </c>
      <c r="Q22" s="1385">
        <f>IF(ISERR(AC22/AG22),"－",ROUND(AC22/AG22,0))</f>
        <v>36479</v>
      </c>
      <c r="R22" s="1386">
        <f>IF(ISERR(AF22/AG22),"－",ROUND(AF22/AG22,0))</f>
        <v>480692</v>
      </c>
      <c r="S22" s="730"/>
      <c r="T22" s="699" t="s">
        <v>426</v>
      </c>
      <c r="U22" s="1407">
        <v>166752</v>
      </c>
      <c r="V22" s="1407">
        <v>2347716</v>
      </c>
      <c r="W22" s="1407">
        <v>113680259804</v>
      </c>
      <c r="X22" s="1407">
        <v>6471562</v>
      </c>
      <c r="Y22" s="1407">
        <v>10246673</v>
      </c>
      <c r="Z22" s="1407">
        <v>114483819810</v>
      </c>
      <c r="AA22" s="1407">
        <v>1443750</v>
      </c>
      <c r="AB22" s="1407">
        <v>2523736</v>
      </c>
      <c r="AC22" s="1407">
        <v>18736879655</v>
      </c>
      <c r="AD22" s="1407">
        <v>8082064</v>
      </c>
      <c r="AE22" s="1407">
        <v>15118125</v>
      </c>
      <c r="AF22" s="1407">
        <v>246900959269</v>
      </c>
      <c r="AG22" s="1407">
        <v>513637</v>
      </c>
      <c r="AH22" s="701"/>
      <c r="AI22" s="698"/>
    </row>
    <row r="23" spans="1:35" s="160" customFormat="1" ht="22.2" customHeight="1">
      <c r="A23" s="725" t="s">
        <v>514</v>
      </c>
      <c r="B23" s="943" t="s">
        <v>513</v>
      </c>
      <c r="C23" s="1387">
        <f>IF(ISERR(U23/AG23),"－",ROUND(U23/AG23*100,3))</f>
        <v>32.280999999999999</v>
      </c>
      <c r="D23" s="1388">
        <f>IF(ISERR(X23/AG23),"－",ROUND(X23/AG23*100,3))</f>
        <v>1227.171</v>
      </c>
      <c r="E23" s="1388">
        <f>IF(ISERR(AA23/AG23),"－",ROUND(AA23/AG23*100,3))</f>
        <v>232.333</v>
      </c>
      <c r="F23" s="1389">
        <f>IF(ISERR(AD23/AG23),"－",ROUND(AD23/AG23*100,3))</f>
        <v>1491.7840000000001</v>
      </c>
      <c r="G23" s="1390">
        <f>IF(ISERR(V23/U23),"－",ROUND(V23/U23,2))</f>
        <v>12.19</v>
      </c>
      <c r="H23" s="1391">
        <f>IF(ISERR(Y23/X23),"－",ROUND(Y23/X23,2))</f>
        <v>1.5</v>
      </c>
      <c r="I23" s="1391">
        <f>IF(ISERR(AB23/AA23),"－",ROUND(AB23/AA23,2))</f>
        <v>1.83</v>
      </c>
      <c r="J23" s="1392">
        <f>IF(ISERR(AE23/AD23),"－",ROUND(AE23/AD23,2))</f>
        <v>1.78</v>
      </c>
      <c r="K23" s="1393">
        <f>IF(ISERR(W23/V23),"－",ROUND(W23/V23,0))</f>
        <v>55012</v>
      </c>
      <c r="L23" s="1394">
        <f>IF(ISERR(Z23/Y23),"－",ROUND(Z23/Y23,0))</f>
        <v>11752</v>
      </c>
      <c r="M23" s="1394">
        <f>IF(ISERR(AC23/AB23),"－",ROUND(AC23/AB23,0))</f>
        <v>7828</v>
      </c>
      <c r="N23" s="1395">
        <f>IF(ISERR(AF23/AE23),"－",ROUND(AF23/AE23,0))</f>
        <v>17526</v>
      </c>
      <c r="O23" s="1393">
        <f>IF(ISERR(W23/AG23),"－",ROUND(W23/AG23,0))</f>
        <v>216503</v>
      </c>
      <c r="P23" s="1394">
        <f>IF(ISERR(Z23/AG23),"－",ROUND(Z23/AG23,0))</f>
        <v>216101</v>
      </c>
      <c r="Q23" s="1394">
        <f>IF(ISERR(AC23/AG23),"－",ROUND(AC23/AG23,0))</f>
        <v>33366</v>
      </c>
      <c r="R23" s="1395">
        <f>IF(ISERR(AF23/AG23),"－",ROUND(AF23/AG23,0))</f>
        <v>465970</v>
      </c>
      <c r="S23" s="729"/>
      <c r="T23" s="673" t="s">
        <v>155</v>
      </c>
      <c r="U23" s="1407">
        <v>13658</v>
      </c>
      <c r="V23" s="1407">
        <v>166514</v>
      </c>
      <c r="W23" s="1407">
        <v>9160222083</v>
      </c>
      <c r="X23" s="1407">
        <v>519216</v>
      </c>
      <c r="Y23" s="1407">
        <v>778034</v>
      </c>
      <c r="Z23" s="1407">
        <v>9143249796</v>
      </c>
      <c r="AA23" s="1407">
        <v>98300</v>
      </c>
      <c r="AB23" s="1407">
        <v>180336</v>
      </c>
      <c r="AC23" s="1407">
        <v>1411697868</v>
      </c>
      <c r="AD23" s="1407">
        <v>631174</v>
      </c>
      <c r="AE23" s="1407">
        <v>1124884</v>
      </c>
      <c r="AF23" s="1407">
        <v>19715169747</v>
      </c>
      <c r="AG23" s="1407">
        <v>42310</v>
      </c>
      <c r="AH23" s="696"/>
      <c r="AI23" s="698"/>
    </row>
    <row r="24" spans="1:35" s="515" customFormat="1" ht="21" customHeight="1">
      <c r="AH24" s="758"/>
    </row>
    <row r="25" spans="1:35" s="160" customFormat="1" ht="21" customHeight="1">
      <c r="A25" s="722"/>
      <c r="E25" s="1103"/>
      <c r="F25" s="1103"/>
      <c r="G25" s="1104"/>
      <c r="H25" s="1104"/>
      <c r="I25" s="1104"/>
      <c r="J25" s="1104"/>
      <c r="K25" s="723"/>
      <c r="L25" s="723"/>
      <c r="M25" s="723"/>
      <c r="N25" s="723"/>
      <c r="O25" s="723"/>
      <c r="P25" s="723"/>
      <c r="Q25" s="723"/>
      <c r="R25" s="723"/>
      <c r="S25" s="676"/>
      <c r="T25" s="676"/>
    </row>
    <row r="26" spans="1:35" s="160" customFormat="1" ht="23.25" customHeight="1">
      <c r="A26" s="722"/>
      <c r="B26" s="757" t="s">
        <v>536</v>
      </c>
      <c r="C26" s="1103"/>
      <c r="D26" s="1103"/>
      <c r="E26" s="1103"/>
      <c r="F26" s="1103"/>
      <c r="G26" s="1104"/>
      <c r="H26" s="1104"/>
      <c r="I26" s="1104"/>
      <c r="J26" s="1104"/>
      <c r="K26" s="728"/>
      <c r="M26" s="723"/>
      <c r="N26" s="723"/>
      <c r="O26" s="723"/>
      <c r="P26" s="723"/>
      <c r="Q26" s="723"/>
      <c r="R26" s="723"/>
      <c r="S26" s="676"/>
      <c r="T26" s="676"/>
    </row>
    <row r="27" spans="1:35" s="160" customFormat="1" ht="11.25" customHeight="1"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</row>
    <row r="28" spans="1:35" s="160" customFormat="1" ht="24" customHeight="1">
      <c r="A28" s="773" t="s">
        <v>118</v>
      </c>
      <c r="B28" s="774"/>
      <c r="C28" s="940"/>
      <c r="D28" s="941" t="s">
        <v>512</v>
      </c>
      <c r="E28" s="942"/>
      <c r="F28" s="943"/>
      <c r="G28" s="940"/>
      <c r="H28" s="941" t="s">
        <v>511</v>
      </c>
      <c r="I28" s="942"/>
      <c r="J28" s="943"/>
      <c r="K28" s="940"/>
      <c r="L28" s="941" t="s">
        <v>510</v>
      </c>
      <c r="M28" s="942"/>
      <c r="N28" s="943"/>
      <c r="O28" s="940"/>
      <c r="P28" s="941" t="s">
        <v>509</v>
      </c>
      <c r="Q28" s="942"/>
      <c r="R28" s="943"/>
      <c r="S28" s="722"/>
      <c r="T28" s="721" t="s">
        <v>516</v>
      </c>
      <c r="U28" s="700"/>
      <c r="V28" s="712"/>
      <c r="W28" s="712"/>
      <c r="X28" s="712"/>
      <c r="Y28" s="712"/>
      <c r="Z28" s="700"/>
      <c r="AA28" s="712"/>
      <c r="AB28" s="712"/>
      <c r="AC28" s="712"/>
      <c r="AD28" s="712"/>
      <c r="AE28" s="700"/>
      <c r="AF28" s="712"/>
      <c r="AG28" s="712"/>
      <c r="AH28" s="712"/>
      <c r="AI28" s="712"/>
    </row>
    <row r="29" spans="1:35" s="160" customFormat="1" ht="6" customHeight="1">
      <c r="A29" s="801"/>
      <c r="B29" s="944"/>
      <c r="C29" s="963"/>
      <c r="D29" s="964"/>
      <c r="E29" s="965"/>
      <c r="F29" s="966"/>
      <c r="G29" s="963"/>
      <c r="H29" s="964"/>
      <c r="I29" s="965"/>
      <c r="J29" s="966"/>
      <c r="K29" s="963"/>
      <c r="L29" s="964"/>
      <c r="M29" s="965"/>
      <c r="N29" s="966"/>
      <c r="O29" s="963"/>
      <c r="P29" s="964"/>
      <c r="Q29" s="965"/>
      <c r="R29" s="966"/>
      <c r="S29" s="678"/>
      <c r="T29" s="721"/>
      <c r="U29" s="700"/>
      <c r="V29" s="712"/>
      <c r="W29" s="712"/>
      <c r="X29" s="712"/>
      <c r="Y29" s="712"/>
      <c r="Z29" s="700"/>
      <c r="AA29" s="712"/>
      <c r="AB29" s="712"/>
      <c r="AC29" s="712"/>
      <c r="AD29" s="712"/>
      <c r="AE29" s="700"/>
      <c r="AF29" s="712"/>
      <c r="AG29" s="712"/>
      <c r="AH29" s="712"/>
      <c r="AI29" s="712"/>
    </row>
    <row r="30" spans="1:35" s="160" customFormat="1" ht="15.75" customHeight="1">
      <c r="A30" s="953" t="s">
        <v>119</v>
      </c>
      <c r="B30" s="954"/>
      <c r="C30" s="955" t="s">
        <v>171</v>
      </c>
      <c r="D30" s="956" t="s">
        <v>172</v>
      </c>
      <c r="E30" s="956" t="s">
        <v>173</v>
      </c>
      <c r="F30" s="957" t="s">
        <v>30</v>
      </c>
      <c r="G30" s="955" t="s">
        <v>171</v>
      </c>
      <c r="H30" s="956" t="s">
        <v>172</v>
      </c>
      <c r="I30" s="956" t="s">
        <v>173</v>
      </c>
      <c r="J30" s="957" t="s">
        <v>30</v>
      </c>
      <c r="K30" s="955" t="s">
        <v>171</v>
      </c>
      <c r="L30" s="956" t="s">
        <v>172</v>
      </c>
      <c r="M30" s="956" t="s">
        <v>173</v>
      </c>
      <c r="N30" s="957" t="s">
        <v>30</v>
      </c>
      <c r="O30" s="955" t="s">
        <v>171</v>
      </c>
      <c r="P30" s="956" t="s">
        <v>172</v>
      </c>
      <c r="Q30" s="956" t="s">
        <v>173</v>
      </c>
      <c r="R30" s="957" t="s">
        <v>30</v>
      </c>
      <c r="S30" s="713"/>
      <c r="T30" s="720" t="s">
        <v>507</v>
      </c>
      <c r="U30" s="719" t="s">
        <v>490</v>
      </c>
      <c r="V30" s="718"/>
      <c r="W30" s="717"/>
      <c r="X30" s="719" t="s">
        <v>489</v>
      </c>
      <c r="Y30" s="718"/>
      <c r="Z30" s="717"/>
      <c r="AA30" s="719" t="s">
        <v>488</v>
      </c>
      <c r="AB30" s="718"/>
      <c r="AC30" s="717"/>
      <c r="AD30" s="719" t="s">
        <v>482</v>
      </c>
      <c r="AE30" s="718"/>
      <c r="AF30" s="717"/>
      <c r="AG30" s="1398" t="s">
        <v>502</v>
      </c>
      <c r="AH30" s="712"/>
      <c r="AI30" s="712"/>
    </row>
    <row r="31" spans="1:35" s="160" customFormat="1" ht="6" customHeight="1">
      <c r="A31" s="677"/>
      <c r="B31" s="212"/>
      <c r="C31" s="716"/>
      <c r="D31" s="715"/>
      <c r="E31" s="715"/>
      <c r="F31" s="714"/>
      <c r="G31" s="716"/>
      <c r="H31" s="715"/>
      <c r="I31" s="715"/>
      <c r="J31" s="714"/>
      <c r="K31" s="716"/>
      <c r="L31" s="715"/>
      <c r="M31" s="715"/>
      <c r="N31" s="714"/>
      <c r="O31" s="716"/>
      <c r="P31" s="715"/>
      <c r="Q31" s="715"/>
      <c r="R31" s="714"/>
      <c r="S31" s="713"/>
    </row>
    <row r="32" spans="1:35" s="682" customFormat="1" ht="12" customHeight="1">
      <c r="A32" s="727"/>
      <c r="B32" s="711"/>
      <c r="C32" s="710"/>
      <c r="D32" s="709"/>
      <c r="E32" s="709"/>
      <c r="F32" s="708"/>
      <c r="G32" s="707" t="s">
        <v>175</v>
      </c>
      <c r="H32" s="706" t="s">
        <v>175</v>
      </c>
      <c r="I32" s="706" t="s">
        <v>175</v>
      </c>
      <c r="J32" s="705" t="s">
        <v>175</v>
      </c>
      <c r="K32" s="707" t="s">
        <v>176</v>
      </c>
      <c r="L32" s="706" t="s">
        <v>176</v>
      </c>
      <c r="M32" s="706" t="s">
        <v>176</v>
      </c>
      <c r="N32" s="705" t="s">
        <v>176</v>
      </c>
      <c r="O32" s="707" t="s">
        <v>176</v>
      </c>
      <c r="P32" s="706" t="s">
        <v>176</v>
      </c>
      <c r="Q32" s="706" t="s">
        <v>176</v>
      </c>
      <c r="R32" s="705" t="s">
        <v>176</v>
      </c>
      <c r="T32" s="704"/>
      <c r="U32" s="703" t="s">
        <v>498</v>
      </c>
      <c r="V32" s="703" t="s">
        <v>497</v>
      </c>
      <c r="W32" s="703" t="s">
        <v>496</v>
      </c>
      <c r="X32" s="703" t="s">
        <v>498</v>
      </c>
      <c r="Y32" s="703" t="s">
        <v>497</v>
      </c>
      <c r="Z32" s="703" t="s">
        <v>496</v>
      </c>
      <c r="AA32" s="703" t="s">
        <v>498</v>
      </c>
      <c r="AB32" s="703" t="s">
        <v>497</v>
      </c>
      <c r="AC32" s="703" t="s">
        <v>496</v>
      </c>
      <c r="AD32" s="703" t="s">
        <v>501</v>
      </c>
      <c r="AE32" s="703" t="s">
        <v>500</v>
      </c>
      <c r="AF32" s="703" t="s">
        <v>499</v>
      </c>
      <c r="AG32" s="702"/>
      <c r="AH32" s="701"/>
    </row>
    <row r="33" spans="1:61" s="682" customFormat="1" ht="12" customHeight="1">
      <c r="A33" s="1397"/>
      <c r="B33" s="711"/>
      <c r="C33" s="710"/>
      <c r="D33" s="709"/>
      <c r="E33" s="709"/>
      <c r="F33" s="708"/>
      <c r="G33" s="707"/>
      <c r="H33" s="706"/>
      <c r="I33" s="706"/>
      <c r="J33" s="705"/>
      <c r="K33" s="707"/>
      <c r="L33" s="706"/>
      <c r="M33" s="706"/>
      <c r="N33" s="705"/>
      <c r="O33" s="707"/>
      <c r="P33" s="706"/>
      <c r="Q33" s="706"/>
      <c r="R33" s="705"/>
      <c r="T33" s="704"/>
      <c r="U33" s="1427" t="s">
        <v>893</v>
      </c>
      <c r="V33" s="1427" t="s">
        <v>894</v>
      </c>
      <c r="W33" s="1427" t="s">
        <v>895</v>
      </c>
      <c r="X33" s="1427" t="s">
        <v>896</v>
      </c>
      <c r="Y33" s="1427" t="s">
        <v>897</v>
      </c>
      <c r="Z33" s="1427" t="s">
        <v>898</v>
      </c>
      <c r="AA33" s="1427" t="s">
        <v>899</v>
      </c>
      <c r="AB33" s="1427" t="s">
        <v>900</v>
      </c>
      <c r="AC33" s="1427" t="s">
        <v>901</v>
      </c>
      <c r="AD33" s="1427" t="s">
        <v>902</v>
      </c>
      <c r="AE33" s="1427" t="s">
        <v>903</v>
      </c>
      <c r="AF33" s="1427" t="s">
        <v>904</v>
      </c>
      <c r="AG33" s="1428" t="s">
        <v>931</v>
      </c>
      <c r="AH33" s="701"/>
    </row>
    <row r="34" spans="1:61" s="160" customFormat="1" ht="22.2" customHeight="1">
      <c r="A34" s="726"/>
      <c r="B34" s="967" t="s">
        <v>515</v>
      </c>
      <c r="C34" s="1378">
        <f>IF(ISERR(U34/AG34),"－",ROUND(U34/AG34*100,3))</f>
        <v>26.417000000000002</v>
      </c>
      <c r="D34" s="1379">
        <f>IF(ISERR(X34/AG34),"－",ROUND(X34/AG34*100,3))</f>
        <v>1276.287</v>
      </c>
      <c r="E34" s="1379">
        <f>IF(ISERR(AA34/AG34),"－",ROUND(AA34/AG34*100,3))</f>
        <v>302.66399999999999</v>
      </c>
      <c r="F34" s="1380">
        <f>IF(ISERR(AD34/AG34),"－",ROUND(AD34/AG34*100,3))</f>
        <v>1605.3679999999999</v>
      </c>
      <c r="G34" s="1381">
        <f>IF(ISERR(V34/U34),"－",ROUND(V34/U34,2))</f>
        <v>10.98</v>
      </c>
      <c r="H34" s="1382">
        <f>IF(ISERR(Y34/X34),"－",ROUND(Y34/X34,2))</f>
        <v>1.49</v>
      </c>
      <c r="I34" s="1382">
        <f>IF(ISERR(AB34/AA34),"－",ROUND(AB34/AA34,2))</f>
        <v>1.69</v>
      </c>
      <c r="J34" s="1383">
        <f>IF(ISERR(AE34/AD34),"－",ROUND(AE34/AD34,2))</f>
        <v>1.68</v>
      </c>
      <c r="K34" s="1384">
        <f>IF(ISERR(W34/V34),"－",ROUND(W34/V34,0))</f>
        <v>65220</v>
      </c>
      <c r="L34" s="1385">
        <f>IF(ISERR(Z34/Y34),"－",ROUND(Z34/Y34,0))</f>
        <v>11196</v>
      </c>
      <c r="M34" s="1385">
        <f>IF(ISERR(AC34/AB34),"－",ROUND(AC34/AB34,0))</f>
        <v>7192</v>
      </c>
      <c r="N34" s="1386">
        <f>IF(ISERR(AF34/AE34),"－",ROUND(AF34/AE34,0))</f>
        <v>16241</v>
      </c>
      <c r="O34" s="1384">
        <f>IF(ISERR(W34/AG34),"－",ROUND(W34/AG34,0))</f>
        <v>189215</v>
      </c>
      <c r="P34" s="1385">
        <f>IF(ISERR(Z34/AG34),"－",ROUND(Z34/AG34,0))</f>
        <v>212411</v>
      </c>
      <c r="Q34" s="1385">
        <f>IF(ISERR(AC34/AG34),"－",ROUND(AC34/AG34,0))</f>
        <v>36870</v>
      </c>
      <c r="R34" s="1386">
        <f>IF(ISERR(AF34/AG34),"－",ROUND(AF34/AG34,0))</f>
        <v>438497</v>
      </c>
      <c r="S34" s="697"/>
      <c r="T34" s="699" t="s">
        <v>426</v>
      </c>
      <c r="U34" s="1407">
        <v>19536</v>
      </c>
      <c r="V34" s="1407">
        <v>214547</v>
      </c>
      <c r="W34" s="1407">
        <v>13992860492</v>
      </c>
      <c r="X34" s="1407">
        <v>943840</v>
      </c>
      <c r="Y34" s="1407">
        <v>1403055</v>
      </c>
      <c r="Z34" s="1407">
        <v>15708247135</v>
      </c>
      <c r="AA34" s="1407">
        <v>223826</v>
      </c>
      <c r="AB34" s="1407">
        <v>379104</v>
      </c>
      <c r="AC34" s="1407">
        <v>2726614700</v>
      </c>
      <c r="AD34" s="1407">
        <v>1187202</v>
      </c>
      <c r="AE34" s="1407">
        <v>1996706</v>
      </c>
      <c r="AF34" s="1407">
        <v>32427722327</v>
      </c>
      <c r="AG34" s="1407">
        <v>73952</v>
      </c>
      <c r="AH34" s="701"/>
      <c r="AI34" s="700"/>
    </row>
    <row r="35" spans="1:61" s="160" customFormat="1" ht="22.2" customHeight="1">
      <c r="A35" s="725" t="s">
        <v>514</v>
      </c>
      <c r="B35" s="943" t="s">
        <v>513</v>
      </c>
      <c r="C35" s="1387">
        <f>IF(ISERR(U35/AG35),"－",ROUND(U35/AG35*100,3))</f>
        <v>27.423999999999999</v>
      </c>
      <c r="D35" s="1388">
        <f>IF(ISERR(X35/AG35),"－",ROUND(X35/AG35*100,3))</f>
        <v>1206.5519999999999</v>
      </c>
      <c r="E35" s="1388">
        <f>IF(ISERR(AA35/AG35),"－",ROUND(AA35/AG35*100,3))</f>
        <v>265.97199999999998</v>
      </c>
      <c r="F35" s="1389">
        <f>IF(ISERR(AD35/AG35),"－",ROUND(AD35/AG35*100,3))</f>
        <v>1499.9480000000001</v>
      </c>
      <c r="G35" s="1390">
        <f>IF(ISERR(V35/U35),"－",ROUND(V35/U35,2))</f>
        <v>9.92</v>
      </c>
      <c r="H35" s="1391">
        <f>IF(ISERR(Y35/X35),"－",ROUND(Y35/X35,2))</f>
        <v>1.45</v>
      </c>
      <c r="I35" s="1391">
        <f>IF(ISERR(AB35/AA35),"－",ROUND(AB35/AA35,2))</f>
        <v>1.74</v>
      </c>
      <c r="J35" s="1392">
        <f>IF(ISERR(AE35/AD35),"－",ROUND(AE35/AD35,2))</f>
        <v>1.66</v>
      </c>
      <c r="K35" s="1393">
        <f>IF(ISERR(W35/V35),"－",ROUND(W35/V35,0))</f>
        <v>69367</v>
      </c>
      <c r="L35" s="1394">
        <f>IF(ISERR(Z35/Y35),"－",ROUND(Z35/Y35,0))</f>
        <v>11956</v>
      </c>
      <c r="M35" s="1394">
        <f>IF(ISERR(AC35/AB35),"－",ROUND(AC35/AB35,0))</f>
        <v>7458</v>
      </c>
      <c r="N35" s="1395">
        <f>IF(ISERR(AF35/AE35),"－",ROUND(AF35/AE35,0))</f>
        <v>17404</v>
      </c>
      <c r="O35" s="1393">
        <f>IF(ISERR(W35/AG35),"－",ROUND(W35/AG35,0))</f>
        <v>188652</v>
      </c>
      <c r="P35" s="1394">
        <f>IF(ISERR(Z35/AG35),"－",ROUND(Z35/AG35,0))</f>
        <v>208954</v>
      </c>
      <c r="Q35" s="1394">
        <f>IF(ISERR(AC35/AG35),"－",ROUND(AC35/AG35,0))</f>
        <v>34574</v>
      </c>
      <c r="R35" s="1395">
        <f>IF(ISERR(AF35/AG35),"－",ROUND(AF35/AG35,0))</f>
        <v>432180</v>
      </c>
      <c r="S35" s="697"/>
      <c r="T35" s="673" t="s">
        <v>155</v>
      </c>
      <c r="U35" s="1407">
        <v>6383</v>
      </c>
      <c r="V35" s="1407">
        <v>63299</v>
      </c>
      <c r="W35" s="1407">
        <v>4390880928</v>
      </c>
      <c r="X35" s="1407">
        <v>280825</v>
      </c>
      <c r="Y35" s="1407">
        <v>406766</v>
      </c>
      <c r="Z35" s="1407">
        <v>4863405062</v>
      </c>
      <c r="AA35" s="1407">
        <v>61905</v>
      </c>
      <c r="AB35" s="1407">
        <v>107895</v>
      </c>
      <c r="AC35" s="1407">
        <v>804706469</v>
      </c>
      <c r="AD35" s="1407">
        <v>349113</v>
      </c>
      <c r="AE35" s="1407">
        <v>577960</v>
      </c>
      <c r="AF35" s="1407">
        <v>10058992459</v>
      </c>
      <c r="AG35" s="1407">
        <v>23275</v>
      </c>
      <c r="AH35" s="696"/>
      <c r="AI35" s="698"/>
    </row>
    <row r="36" spans="1:61" s="515" customFormat="1" ht="21" customHeight="1">
      <c r="AH36" s="758"/>
      <c r="AI36" s="759"/>
      <c r="AJ36" s="759"/>
      <c r="AK36" s="759"/>
    </row>
    <row r="37" spans="1:61" s="160" customFormat="1" ht="21" customHeight="1">
      <c r="D37" s="724"/>
      <c r="E37" s="724"/>
      <c r="F37" s="724"/>
      <c r="G37" s="724"/>
      <c r="H37" s="724"/>
      <c r="I37" s="724"/>
      <c r="J37" s="724"/>
      <c r="K37" s="724"/>
      <c r="L37" s="724"/>
      <c r="M37" s="724"/>
      <c r="N37" s="724"/>
      <c r="O37" s="724"/>
      <c r="P37" s="724"/>
      <c r="Q37" s="724"/>
      <c r="R37" s="724"/>
      <c r="S37" s="724"/>
      <c r="T37" s="724"/>
    </row>
    <row r="38" spans="1:61" s="160" customFormat="1" ht="21.9" customHeight="1">
      <c r="A38" s="1105"/>
      <c r="B38" s="757" t="s">
        <v>178</v>
      </c>
      <c r="C38" s="723"/>
      <c r="D38" s="723"/>
      <c r="E38" s="723"/>
      <c r="F38" s="723"/>
      <c r="G38" s="723"/>
      <c r="H38" s="723"/>
      <c r="I38" s="723"/>
      <c r="J38" s="723"/>
      <c r="K38" s="723"/>
      <c r="L38" s="723"/>
      <c r="M38" s="723"/>
      <c r="N38" s="723"/>
      <c r="O38" s="723"/>
      <c r="P38" s="723"/>
      <c r="Q38" s="723"/>
      <c r="R38" s="723"/>
      <c r="S38" s="723"/>
      <c r="T38" s="723"/>
    </row>
    <row r="39" spans="1:61" s="160" customFormat="1" ht="11.25" customHeight="1">
      <c r="A39" s="681"/>
      <c r="B39" s="681"/>
      <c r="C39" s="723"/>
      <c r="D39" s="723"/>
      <c r="E39" s="723"/>
      <c r="F39" s="723"/>
      <c r="G39" s="723"/>
      <c r="H39" s="723"/>
      <c r="I39" s="723"/>
      <c r="J39" s="723"/>
      <c r="K39" s="723"/>
      <c r="L39" s="723"/>
      <c r="M39" s="723"/>
      <c r="N39" s="723"/>
      <c r="O39" s="723"/>
      <c r="P39" s="723"/>
      <c r="Q39" s="723"/>
      <c r="R39" s="723"/>
      <c r="S39" s="723"/>
      <c r="T39" s="723"/>
    </row>
    <row r="40" spans="1:61" s="160" customFormat="1" ht="24" customHeight="1">
      <c r="A40" s="773" t="s">
        <v>118</v>
      </c>
      <c r="B40" s="774"/>
      <c r="C40" s="940"/>
      <c r="D40" s="941" t="s">
        <v>512</v>
      </c>
      <c r="E40" s="942"/>
      <c r="F40" s="943"/>
      <c r="G40" s="940"/>
      <c r="H40" s="941" t="s">
        <v>511</v>
      </c>
      <c r="I40" s="942"/>
      <c r="J40" s="943"/>
      <c r="K40" s="940"/>
      <c r="L40" s="941" t="s">
        <v>510</v>
      </c>
      <c r="M40" s="942"/>
      <c r="N40" s="943"/>
      <c r="O40" s="940"/>
      <c r="P40" s="941" t="s">
        <v>509</v>
      </c>
      <c r="Q40" s="942"/>
      <c r="R40" s="943"/>
      <c r="S40" s="722"/>
      <c r="T40" s="721" t="s">
        <v>508</v>
      </c>
      <c r="U40" s="700"/>
      <c r="V40" s="712"/>
      <c r="W40" s="712"/>
      <c r="X40" s="712"/>
      <c r="Y40" s="712"/>
      <c r="Z40" s="700"/>
      <c r="AA40" s="712"/>
      <c r="AB40" s="712"/>
      <c r="AC40" s="712"/>
      <c r="AD40" s="712"/>
      <c r="AE40" s="700"/>
      <c r="AF40" s="712"/>
      <c r="AG40" s="712"/>
      <c r="AH40" s="712"/>
      <c r="AI40" s="700"/>
    </row>
    <row r="41" spans="1:61" s="160" customFormat="1" ht="6" customHeight="1">
      <c r="A41" s="801"/>
      <c r="B41" s="944"/>
      <c r="C41" s="963"/>
      <c r="D41" s="964"/>
      <c r="E41" s="965"/>
      <c r="F41" s="966"/>
      <c r="G41" s="963"/>
      <c r="H41" s="964"/>
      <c r="I41" s="965"/>
      <c r="J41" s="966"/>
      <c r="K41" s="963"/>
      <c r="L41" s="964"/>
      <c r="M41" s="965"/>
      <c r="N41" s="966"/>
      <c r="O41" s="963"/>
      <c r="P41" s="964"/>
      <c r="Q41" s="965"/>
      <c r="R41" s="966"/>
      <c r="S41" s="678"/>
      <c r="T41" s="713"/>
      <c r="U41" s="700"/>
      <c r="V41" s="712"/>
      <c r="W41" s="712"/>
      <c r="X41" s="712"/>
      <c r="Y41" s="712"/>
      <c r="Z41" s="700"/>
      <c r="AA41" s="712"/>
      <c r="AB41" s="712"/>
      <c r="AC41" s="712"/>
      <c r="AD41" s="712"/>
      <c r="AE41" s="700"/>
      <c r="AF41" s="712"/>
      <c r="AG41" s="712"/>
      <c r="AH41" s="712"/>
      <c r="AI41" s="712"/>
    </row>
    <row r="42" spans="1:61" s="160" customFormat="1" ht="15.75" customHeight="1">
      <c r="A42" s="953" t="s">
        <v>119</v>
      </c>
      <c r="B42" s="954"/>
      <c r="C42" s="955" t="s">
        <v>171</v>
      </c>
      <c r="D42" s="956" t="s">
        <v>172</v>
      </c>
      <c r="E42" s="956" t="s">
        <v>173</v>
      </c>
      <c r="F42" s="957" t="s">
        <v>30</v>
      </c>
      <c r="G42" s="955" t="s">
        <v>171</v>
      </c>
      <c r="H42" s="956" t="s">
        <v>172</v>
      </c>
      <c r="I42" s="956" t="s">
        <v>173</v>
      </c>
      <c r="J42" s="957" t="s">
        <v>30</v>
      </c>
      <c r="K42" s="955" t="s">
        <v>171</v>
      </c>
      <c r="L42" s="956" t="s">
        <v>172</v>
      </c>
      <c r="M42" s="956" t="s">
        <v>173</v>
      </c>
      <c r="N42" s="957" t="s">
        <v>30</v>
      </c>
      <c r="O42" s="955" t="s">
        <v>171</v>
      </c>
      <c r="P42" s="956" t="s">
        <v>172</v>
      </c>
      <c r="Q42" s="956" t="s">
        <v>173</v>
      </c>
      <c r="R42" s="957" t="s">
        <v>30</v>
      </c>
      <c r="S42" s="713"/>
      <c r="T42" s="720" t="s">
        <v>507</v>
      </c>
      <c r="U42" s="719" t="s">
        <v>490</v>
      </c>
      <c r="V42" s="718"/>
      <c r="W42" s="717"/>
      <c r="X42" s="719" t="s">
        <v>489</v>
      </c>
      <c r="Y42" s="718"/>
      <c r="Z42" s="717"/>
      <c r="AA42" s="719" t="s">
        <v>488</v>
      </c>
      <c r="AB42" s="718"/>
      <c r="AC42" s="717"/>
      <c r="AD42" s="719" t="s">
        <v>482</v>
      </c>
      <c r="AE42" s="718"/>
      <c r="AF42" s="717"/>
      <c r="AG42" s="1398" t="s">
        <v>502</v>
      </c>
      <c r="AH42" s="712"/>
      <c r="AI42" s="712"/>
    </row>
    <row r="43" spans="1:61" s="160" customFormat="1" ht="6" customHeight="1">
      <c r="A43" s="677"/>
      <c r="B43" s="212"/>
      <c r="C43" s="716"/>
      <c r="D43" s="715"/>
      <c r="E43" s="715"/>
      <c r="F43" s="714"/>
      <c r="G43" s="716"/>
      <c r="H43" s="715"/>
      <c r="I43" s="715"/>
      <c r="J43" s="714"/>
      <c r="K43" s="716"/>
      <c r="L43" s="715"/>
      <c r="M43" s="715"/>
      <c r="N43" s="714"/>
      <c r="O43" s="716"/>
      <c r="P43" s="715"/>
      <c r="Q43" s="715"/>
      <c r="R43" s="714"/>
      <c r="S43" s="713"/>
      <c r="AI43" s="712"/>
    </row>
    <row r="44" spans="1:61" s="682" customFormat="1" ht="12" customHeight="1">
      <c r="A44" s="915"/>
      <c r="B44" s="916"/>
      <c r="C44" s="710"/>
      <c r="D44" s="709"/>
      <c r="E44" s="709"/>
      <c r="F44" s="708"/>
      <c r="G44" s="707" t="s">
        <v>175</v>
      </c>
      <c r="H44" s="706" t="s">
        <v>175</v>
      </c>
      <c r="I44" s="706" t="s">
        <v>175</v>
      </c>
      <c r="J44" s="705" t="s">
        <v>175</v>
      </c>
      <c r="K44" s="707" t="s">
        <v>176</v>
      </c>
      <c r="L44" s="706" t="s">
        <v>176</v>
      </c>
      <c r="M44" s="706" t="s">
        <v>176</v>
      </c>
      <c r="N44" s="705" t="s">
        <v>176</v>
      </c>
      <c r="O44" s="707" t="s">
        <v>176</v>
      </c>
      <c r="P44" s="706" t="s">
        <v>176</v>
      </c>
      <c r="Q44" s="706" t="s">
        <v>176</v>
      </c>
      <c r="R44" s="705" t="s">
        <v>176</v>
      </c>
      <c r="S44" s="684"/>
      <c r="T44" s="704"/>
      <c r="U44" s="703" t="s">
        <v>498</v>
      </c>
      <c r="V44" s="703" t="s">
        <v>497</v>
      </c>
      <c r="W44" s="703" t="s">
        <v>496</v>
      </c>
      <c r="X44" s="703" t="s">
        <v>498</v>
      </c>
      <c r="Y44" s="703" t="s">
        <v>497</v>
      </c>
      <c r="Z44" s="703" t="s">
        <v>496</v>
      </c>
      <c r="AA44" s="703" t="s">
        <v>498</v>
      </c>
      <c r="AB44" s="703" t="s">
        <v>497</v>
      </c>
      <c r="AC44" s="703" t="s">
        <v>496</v>
      </c>
      <c r="AD44" s="703" t="s">
        <v>501</v>
      </c>
      <c r="AE44" s="703" t="s">
        <v>500</v>
      </c>
      <c r="AF44" s="703" t="s">
        <v>499</v>
      </c>
      <c r="AG44" s="702"/>
      <c r="AH44" s="701"/>
    </row>
    <row r="45" spans="1:61" s="682" customFormat="1" ht="12" customHeight="1">
      <c r="A45" s="684"/>
      <c r="B45" s="711"/>
      <c r="C45" s="710"/>
      <c r="D45" s="709"/>
      <c r="E45" s="709"/>
      <c r="F45" s="708"/>
      <c r="G45" s="707"/>
      <c r="H45" s="706"/>
      <c r="I45" s="706"/>
      <c r="J45" s="705"/>
      <c r="K45" s="707"/>
      <c r="L45" s="706"/>
      <c r="M45" s="706"/>
      <c r="N45" s="705"/>
      <c r="O45" s="707"/>
      <c r="P45" s="706"/>
      <c r="Q45" s="706"/>
      <c r="R45" s="705"/>
      <c r="S45" s="684"/>
      <c r="T45" s="704"/>
      <c r="U45" s="1408" t="s">
        <v>717</v>
      </c>
      <c r="V45" s="1408" t="s">
        <v>717</v>
      </c>
      <c r="W45" s="1408" t="s">
        <v>717</v>
      </c>
      <c r="X45" s="1408" t="s">
        <v>717</v>
      </c>
      <c r="Y45" s="1408" t="s">
        <v>717</v>
      </c>
      <c r="Z45" s="1408" t="s">
        <v>717</v>
      </c>
      <c r="AA45" s="1408" t="s">
        <v>717</v>
      </c>
      <c r="AB45" s="1408" t="s">
        <v>717</v>
      </c>
      <c r="AC45" s="1408" t="s">
        <v>717</v>
      </c>
      <c r="AD45" s="1408" t="s">
        <v>717</v>
      </c>
      <c r="AE45" s="1408" t="s">
        <v>717</v>
      </c>
      <c r="AF45" s="1408" t="s">
        <v>717</v>
      </c>
      <c r="AG45" s="1408" t="s">
        <v>717</v>
      </c>
      <c r="AH45" s="701"/>
      <c r="AI45" s="1427" t="s">
        <v>905</v>
      </c>
      <c r="AJ45" s="1427" t="s">
        <v>906</v>
      </c>
      <c r="AK45" s="1427" t="s">
        <v>907</v>
      </c>
      <c r="AL45" s="1427" t="s">
        <v>908</v>
      </c>
      <c r="AM45" s="1427" t="s">
        <v>909</v>
      </c>
      <c r="AN45" s="1427" t="s">
        <v>910</v>
      </c>
      <c r="AO45" s="1427" t="s">
        <v>911</v>
      </c>
      <c r="AP45" s="1427" t="s">
        <v>912</v>
      </c>
      <c r="AQ45" s="1427" t="s">
        <v>913</v>
      </c>
      <c r="AR45" s="1427" t="s">
        <v>914</v>
      </c>
      <c r="AS45" s="1427" t="s">
        <v>915</v>
      </c>
      <c r="AT45" s="1427" t="s">
        <v>916</v>
      </c>
      <c r="AU45" s="1427" t="s">
        <v>932</v>
      </c>
      <c r="AV45" s="1427"/>
      <c r="AW45" s="1427" t="s">
        <v>917</v>
      </c>
      <c r="AX45" s="1427" t="s">
        <v>918</v>
      </c>
      <c r="AY45" s="1427" t="s">
        <v>919</v>
      </c>
      <c r="AZ45" s="1427" t="s">
        <v>920</v>
      </c>
      <c r="BA45" s="1427" t="s">
        <v>921</v>
      </c>
      <c r="BB45" s="1427" t="s">
        <v>922</v>
      </c>
      <c r="BC45" s="1427" t="s">
        <v>923</v>
      </c>
      <c r="BD45" s="1427" t="s">
        <v>924</v>
      </c>
      <c r="BE45" s="1427" t="s">
        <v>925</v>
      </c>
      <c r="BF45" s="1427" t="s">
        <v>926</v>
      </c>
      <c r="BG45" s="1427" t="s">
        <v>927</v>
      </c>
      <c r="BH45" s="1427" t="s">
        <v>928</v>
      </c>
      <c r="BI45" s="1427" t="s">
        <v>933</v>
      </c>
    </row>
    <row r="46" spans="1:61" s="160" customFormat="1" ht="22.2" customHeight="1">
      <c r="A46" s="726"/>
      <c r="B46" s="967" t="s">
        <v>515</v>
      </c>
      <c r="C46" s="1637">
        <f>IF(ISERR(U46/AG46),"－",ROUND(U46/AG46*100,3))</f>
        <v>13.55</v>
      </c>
      <c r="D46" s="1638">
        <f>IF(ISERR(X46/AG46),"－",ROUND(X46/AG46*100,3))</f>
        <v>793.85599999999999</v>
      </c>
      <c r="E46" s="1638">
        <f>IF(ISERR(AA46/AG46),"－",ROUND(AA46/AG46*100,3))</f>
        <v>136.11199999999999</v>
      </c>
      <c r="F46" s="1639">
        <f>IF(ISERR(AD46/AG46),"－",ROUND(AD46/AG46*100,3))</f>
        <v>943.51800000000003</v>
      </c>
      <c r="G46" s="1640">
        <f>IF(ISERR(V46/U46),"－",ROUND(V46/U46,2))</f>
        <v>7.61</v>
      </c>
      <c r="H46" s="1641">
        <f>IF(ISERR(Y46/X46),"－",ROUND(Y46/X46,2))</f>
        <v>1.46</v>
      </c>
      <c r="I46" s="1641">
        <f>IF(ISERR(AB46/AA46),"－",ROUND(AB46/AA46,2))</f>
        <v>1.27</v>
      </c>
      <c r="J46" s="1642">
        <f>IF(ISERR(AE46/AD46),"－",ROUND(AE46/AD46,2))</f>
        <v>1.52</v>
      </c>
      <c r="K46" s="1643">
        <f>IF(ISERR(W46/V46),"－",ROUND(W46/V46,0))</f>
        <v>75539</v>
      </c>
      <c r="L46" s="1644">
        <f>IF(ISERR(Z46/Y46),"－",ROUND(Z46/Y46,0))</f>
        <v>7991</v>
      </c>
      <c r="M46" s="1644">
        <f>IF(ISERR(AC46/AB46),"－",ROUND(AC46/AB46,0))</f>
        <v>8302</v>
      </c>
      <c r="N46" s="1645">
        <f>IF(ISERR(AF46/AE46),"－",ROUND(AF46/AE46,0))</f>
        <v>12892</v>
      </c>
      <c r="O46" s="1643">
        <f>IF(ISERR(W46/AG46),"－",ROUND(W46/AG46,0))</f>
        <v>77890</v>
      </c>
      <c r="P46" s="1644">
        <f>IF(ISERR(Z46/AG46),"－",ROUND(Z46/AG46,0))</f>
        <v>92342</v>
      </c>
      <c r="Q46" s="1644">
        <f>IF(ISERR(AC46/AG46),"－",ROUND(AC46/AG46,0))</f>
        <v>14399</v>
      </c>
      <c r="R46" s="1645">
        <f>IF(ISERR(AF46/AG46),"－",ROUND(AF46/AG46,0))</f>
        <v>184631</v>
      </c>
      <c r="S46" s="697"/>
      <c r="T46" s="699" t="s">
        <v>137</v>
      </c>
      <c r="U46" s="1407">
        <f>AI46+AW46</f>
        <v>8281</v>
      </c>
      <c r="V46" s="1407">
        <f t="shared" ref="V46:AG46" si="0">AJ46+AX46</f>
        <v>63015</v>
      </c>
      <c r="W46" s="1407">
        <f t="shared" si="0"/>
        <v>4760100442</v>
      </c>
      <c r="X46" s="1407">
        <f t="shared" si="0"/>
        <v>485149</v>
      </c>
      <c r="Y46" s="1407">
        <f t="shared" si="0"/>
        <v>706241</v>
      </c>
      <c r="Z46" s="1407">
        <f t="shared" si="0"/>
        <v>5643326455</v>
      </c>
      <c r="AA46" s="1407">
        <f t="shared" si="0"/>
        <v>83182</v>
      </c>
      <c r="AB46" s="1407">
        <f t="shared" si="0"/>
        <v>105995</v>
      </c>
      <c r="AC46" s="1407">
        <f t="shared" si="0"/>
        <v>879945610</v>
      </c>
      <c r="AD46" s="1407">
        <f t="shared" si="0"/>
        <v>576612</v>
      </c>
      <c r="AE46" s="1407">
        <f t="shared" si="0"/>
        <v>875251</v>
      </c>
      <c r="AF46" s="1407">
        <f t="shared" si="0"/>
        <v>11283372507</v>
      </c>
      <c r="AG46" s="1407">
        <f t="shared" si="0"/>
        <v>61113</v>
      </c>
      <c r="AH46" s="699" t="s">
        <v>426</v>
      </c>
      <c r="AI46" s="1407">
        <v>8281</v>
      </c>
      <c r="AJ46" s="1407">
        <v>63015</v>
      </c>
      <c r="AK46" s="1407">
        <v>4760100442</v>
      </c>
      <c r="AL46" s="1407">
        <v>485149</v>
      </c>
      <c r="AM46" s="1407">
        <v>706241</v>
      </c>
      <c r="AN46" s="1407">
        <v>5643326455</v>
      </c>
      <c r="AO46" s="1407">
        <v>83182</v>
      </c>
      <c r="AP46" s="1407">
        <v>105995</v>
      </c>
      <c r="AQ46" s="1407">
        <v>879945610</v>
      </c>
      <c r="AR46" s="1407">
        <v>576612</v>
      </c>
      <c r="AS46" s="1407">
        <v>875251</v>
      </c>
      <c r="AT46" s="1407">
        <v>11283372507</v>
      </c>
      <c r="AU46" s="1407">
        <v>61113</v>
      </c>
      <c r="AV46" s="699" t="s">
        <v>427</v>
      </c>
      <c r="AW46" s="1600">
        <v>0</v>
      </c>
      <c r="AX46" s="1600">
        <v>0</v>
      </c>
      <c r="AY46" s="1600">
        <v>0</v>
      </c>
      <c r="AZ46" s="1600">
        <v>0</v>
      </c>
      <c r="BA46" s="1600">
        <v>0</v>
      </c>
      <c r="BB46" s="1600">
        <v>0</v>
      </c>
      <c r="BC46" s="1600">
        <v>0</v>
      </c>
      <c r="BD46" s="1600">
        <v>0</v>
      </c>
      <c r="BE46" s="1600">
        <v>0</v>
      </c>
      <c r="BF46" s="1600">
        <v>0</v>
      </c>
      <c r="BG46" s="1600">
        <v>0</v>
      </c>
      <c r="BH46" s="1600">
        <v>0</v>
      </c>
      <c r="BI46" s="1600">
        <v>0</v>
      </c>
    </row>
    <row r="47" spans="1:61" s="160" customFormat="1" ht="21" customHeight="1">
      <c r="A47" s="725" t="s">
        <v>514</v>
      </c>
      <c r="B47" s="943" t="s">
        <v>513</v>
      </c>
      <c r="C47" s="1378">
        <f>IF(ISERR(U47/AG47),"－",ROUND(U47/AG47*100,3))</f>
        <v>14.471</v>
      </c>
      <c r="D47" s="1379">
        <f>IF(ISERR(X47/AG47),"－",ROUND(X47/AG47*100,3))</f>
        <v>883.61099999999999</v>
      </c>
      <c r="E47" s="1379">
        <f>IF(ISERR(AA47/AG47),"－",ROUND(AA47/AG47*100,3))</f>
        <v>152.947</v>
      </c>
      <c r="F47" s="1380">
        <f>IF(ISERR(AD47/AG47),"－",ROUND(AD47/AG47*100,3))</f>
        <v>1051.028</v>
      </c>
      <c r="G47" s="1381">
        <f>IF(ISERR(V47/U47),"－",ROUND(V47/U47,2))</f>
        <v>6.69</v>
      </c>
      <c r="H47" s="1382">
        <f>IF(ISERR(Y47/X47),"－",ROUND(Y47/X47,2))</f>
        <v>1.46</v>
      </c>
      <c r="I47" s="1382">
        <f>IF(ISERR(AB47/AA47),"－",ROUND(AB47/AA47,2))</f>
        <v>1.24</v>
      </c>
      <c r="J47" s="1383">
        <f>IF(ISERR(AE47/AD47),"－",ROUND(AE47/AD47,2))</f>
        <v>1.5</v>
      </c>
      <c r="K47" s="1384">
        <f>IF(ISERR(W47/V47),"－",ROUND(W47/V47,0))</f>
        <v>74720</v>
      </c>
      <c r="L47" s="1385">
        <f>IF(ISERR(Z47/Y47),"－",ROUND(Z47/Y47,0))</f>
        <v>7707</v>
      </c>
      <c r="M47" s="1385">
        <f>IF(ISERR(AC47/AB47),"－",ROUND(AC47/AB47,0))</f>
        <v>8046</v>
      </c>
      <c r="N47" s="1386">
        <f>IF(ISERR(AF47/AE47),"－",ROUND(AF47/AE47,0))</f>
        <v>11862</v>
      </c>
      <c r="O47" s="1384">
        <f>IF(ISERR(W47/AG47),"－",ROUND(W47/AG47,0))</f>
        <v>72362</v>
      </c>
      <c r="P47" s="1385">
        <f>IF(ISERR(Z47/AG47),"－",ROUND(Z47/AG47,0))</f>
        <v>99535</v>
      </c>
      <c r="Q47" s="1385">
        <f>IF(ISERR(AC47/AG47),"－",ROUND(AC47/AG47,0))</f>
        <v>15214</v>
      </c>
      <c r="R47" s="1386">
        <f>IF(ISERR(AF47/AG47),"－",ROUND(AF47/AG47,0))</f>
        <v>187110</v>
      </c>
      <c r="S47" s="697"/>
      <c r="T47" s="673" t="s">
        <v>155</v>
      </c>
      <c r="U47" s="1600">
        <f t="shared" ref="U47:AG47" si="1">AI47</f>
        <v>12015</v>
      </c>
      <c r="V47" s="1600">
        <f t="shared" si="1"/>
        <v>80408</v>
      </c>
      <c r="W47" s="1600">
        <f t="shared" si="1"/>
        <v>6008111540</v>
      </c>
      <c r="X47" s="1600">
        <f t="shared" si="1"/>
        <v>733653</v>
      </c>
      <c r="Y47" s="1600">
        <f t="shared" si="1"/>
        <v>1072320</v>
      </c>
      <c r="Z47" s="1600">
        <f t="shared" si="1"/>
        <v>8264279174</v>
      </c>
      <c r="AA47" s="1600">
        <f t="shared" si="1"/>
        <v>126990</v>
      </c>
      <c r="AB47" s="1600">
        <f t="shared" si="1"/>
        <v>156994</v>
      </c>
      <c r="AC47" s="1600">
        <f t="shared" si="1"/>
        <v>1263163910</v>
      </c>
      <c r="AD47" s="1600">
        <f t="shared" si="1"/>
        <v>872658</v>
      </c>
      <c r="AE47" s="1600">
        <f t="shared" si="1"/>
        <v>1309722</v>
      </c>
      <c r="AF47" s="1600">
        <f t="shared" si="1"/>
        <v>15535554624</v>
      </c>
      <c r="AG47" s="1600">
        <f t="shared" si="1"/>
        <v>83029</v>
      </c>
      <c r="AH47" s="673" t="s">
        <v>155</v>
      </c>
      <c r="AI47" s="1407">
        <v>12015</v>
      </c>
      <c r="AJ47" s="1407">
        <v>80408</v>
      </c>
      <c r="AK47" s="1407">
        <v>6008111540</v>
      </c>
      <c r="AL47" s="1407">
        <v>733653</v>
      </c>
      <c r="AM47" s="1407">
        <v>1072320</v>
      </c>
      <c r="AN47" s="1407">
        <v>8264279174</v>
      </c>
      <c r="AO47" s="1407">
        <v>126990</v>
      </c>
      <c r="AP47" s="1407">
        <v>156994</v>
      </c>
      <c r="AQ47" s="1407">
        <v>1263163910</v>
      </c>
      <c r="AR47" s="1407">
        <v>872658</v>
      </c>
      <c r="AS47" s="1407">
        <v>1309722</v>
      </c>
      <c r="AT47" s="1407">
        <v>15535554624</v>
      </c>
      <c r="AU47" s="1407">
        <v>83029</v>
      </c>
      <c r="AV47" s="1408" t="s">
        <v>717</v>
      </c>
      <c r="AW47" s="1408" t="s">
        <v>717</v>
      </c>
      <c r="AX47" s="1408" t="s">
        <v>717</v>
      </c>
      <c r="AY47" s="1408" t="s">
        <v>717</v>
      </c>
      <c r="AZ47" s="1408" t="s">
        <v>717</v>
      </c>
      <c r="BA47" s="1408" t="s">
        <v>717</v>
      </c>
      <c r="BB47" s="1408" t="s">
        <v>717</v>
      </c>
      <c r="BC47" s="1408" t="s">
        <v>717</v>
      </c>
      <c r="BD47" s="1408" t="s">
        <v>717</v>
      </c>
      <c r="BE47" s="1408" t="s">
        <v>717</v>
      </c>
      <c r="BF47" s="1408" t="s">
        <v>717</v>
      </c>
      <c r="BG47" s="1408" t="s">
        <v>717</v>
      </c>
      <c r="BH47" s="1408" t="s">
        <v>717</v>
      </c>
      <c r="BI47" s="1408" t="s">
        <v>717</v>
      </c>
    </row>
    <row r="48" spans="1:61" s="760" customFormat="1" ht="21" customHeight="1">
      <c r="A48" s="515" t="s">
        <v>506</v>
      </c>
      <c r="B48" s="515"/>
      <c r="C48" s="515"/>
      <c r="T48" s="761"/>
    </row>
    <row r="49" s="665" customFormat="1" ht="14.1" customHeight="1"/>
    <row r="50" s="665" customFormat="1" ht="14.1" customHeight="1"/>
    <row r="51" s="665" customFormat="1" ht="14.1" customHeight="1"/>
    <row r="52" s="665" customFormat="1" ht="14.1" customHeight="1"/>
    <row r="53" s="665" customFormat="1" ht="14.1" customHeight="1"/>
    <row r="54" s="665" customFormat="1" ht="14.1" customHeight="1"/>
    <row r="55" s="665" customFormat="1" ht="14.1" customHeight="1"/>
    <row r="56" s="665" customFormat="1" ht="14.1" customHeight="1"/>
    <row r="57" s="665" customFormat="1" ht="14.1" customHeight="1"/>
    <row r="58" s="665" customFormat="1" ht="14.1" customHeight="1"/>
    <row r="59" s="665" customFormat="1" ht="14.1" customHeight="1"/>
    <row r="60" s="665" customFormat="1" ht="14.1" customHeight="1"/>
    <row r="61" s="665" customFormat="1" ht="14.1" customHeight="1"/>
    <row r="62" s="665" customFormat="1" ht="14.1" customHeight="1"/>
  </sheetData>
  <phoneticPr fontId="27"/>
  <printOptions gridLinesSet="0"/>
  <pageMargins left="0.59055118110236227" right="0.59055118110236227" top="0.78740157480314965" bottom="0.59055118110236227" header="0" footer="0.39370078740157483"/>
  <pageSetup paperSize="9" scale="66" firstPageNumber="38" pageOrder="overThenDown" orientation="landscape" useFirstPageNumber="1" r:id="rId1"/>
  <headerFooter alignWithMargins="0"/>
  <colBreaks count="1" manualBreakCount="1">
    <brk id="10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E97"/>
  <sheetViews>
    <sheetView view="pageBreakPreview" zoomScaleNormal="100" zoomScaleSheetLayoutView="100" workbookViewId="0">
      <pane xSplit="6" ySplit="5" topLeftCell="G18" activePane="bottomRight" state="frozen"/>
      <selection activeCell="J4" sqref="J4:K5"/>
      <selection pane="topRight" activeCell="J4" sqref="J4:K5"/>
      <selection pane="bottomLeft" activeCell="J4" sqref="J4:K5"/>
      <selection pane="bottomRight"/>
    </sheetView>
  </sheetViews>
  <sheetFormatPr defaultColWidth="9" defaultRowHeight="12"/>
  <cols>
    <col min="1" max="1" width="5.77734375" style="21" customWidth="1" collapsed="1"/>
    <col min="2" max="2" width="2.6640625" style="45" customWidth="1" collapsed="1"/>
    <col min="3" max="3" width="1.88671875" style="21" customWidth="1" collapsed="1"/>
    <col min="4" max="4" width="3.33203125" style="20" customWidth="1" collapsed="1"/>
    <col min="5" max="5" width="12.6640625" style="20" customWidth="1" collapsed="1"/>
    <col min="6" max="6" width="4.21875" style="20" customWidth="1" collapsed="1"/>
    <col min="7" max="8" width="10.6640625" style="1" customWidth="1" collapsed="1"/>
    <col min="9" max="9" width="1.109375" style="1" customWidth="1" collapsed="1"/>
    <col min="10" max="10" width="10.6640625" style="1" customWidth="1" collapsed="1"/>
    <col min="11" max="11" width="1.109375" style="1" customWidth="1" collapsed="1"/>
    <col min="12" max="12" width="10.6640625" style="1" customWidth="1" collapsed="1"/>
    <col min="13" max="13" width="1.109375" style="1" customWidth="1" collapsed="1"/>
    <col min="14" max="14" width="10.6640625" style="1" customWidth="1" collapsed="1"/>
    <col min="15" max="15" width="1.109375" style="1" customWidth="1" collapsed="1"/>
    <col min="16" max="16" width="10.6640625" style="1" customWidth="1" collapsed="1"/>
    <col min="17" max="17" width="1.109375" style="2" customWidth="1" collapsed="1"/>
    <col min="18" max="18" width="10.6640625" style="1" customWidth="1" collapsed="1"/>
    <col min="19" max="19" width="1.109375" style="2" customWidth="1" collapsed="1"/>
    <col min="20" max="20" width="10.6640625" style="1" customWidth="1" collapsed="1"/>
    <col min="21" max="21" width="1.109375" style="2" customWidth="1" collapsed="1"/>
    <col min="22" max="22" width="10.6640625" style="1" customWidth="1" collapsed="1"/>
    <col min="23" max="23" width="1.109375" style="2" customWidth="1" collapsed="1"/>
    <col min="24" max="24" width="10.6640625" style="1" customWidth="1" collapsed="1"/>
    <col min="25" max="25" width="1.109375" style="2" customWidth="1" collapsed="1"/>
    <col min="26" max="26" width="10.6640625" style="1" customWidth="1" collapsed="1"/>
    <col min="27" max="27" width="1.109375" style="2" customWidth="1" collapsed="1"/>
    <col min="28" max="28" width="10.6640625" style="1" customWidth="1" collapsed="1"/>
    <col min="29" max="29" width="1.109375" style="2" customWidth="1" collapsed="1"/>
    <col min="30" max="30" width="1.77734375" style="1" customWidth="1" collapsed="1"/>
    <col min="31" max="31" width="1.109375" style="2" customWidth="1" collapsed="1"/>
    <col min="32" max="16384" width="9" style="1" collapsed="1"/>
  </cols>
  <sheetData>
    <row r="1" spans="1:31" s="21" customFormat="1" ht="39" customHeight="1">
      <c r="B1" s="45"/>
      <c r="D1" s="20"/>
      <c r="E1" s="20"/>
      <c r="F1" s="20"/>
      <c r="Q1" s="20"/>
      <c r="S1" s="20"/>
      <c r="U1" s="20"/>
      <c r="W1" s="20"/>
      <c r="Y1" s="20"/>
      <c r="AA1" s="20"/>
      <c r="AC1" s="20"/>
      <c r="AE1" s="20"/>
    </row>
    <row r="2" spans="1:31" s="22" customFormat="1" ht="22.5" customHeight="1">
      <c r="B2" s="605"/>
      <c r="C2" s="615"/>
      <c r="D2" s="622"/>
      <c r="E2" s="623" t="s">
        <v>219</v>
      </c>
      <c r="F2" s="623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22"/>
      <c r="R2" s="615"/>
      <c r="S2" s="622"/>
      <c r="T2" s="615"/>
      <c r="U2" s="622"/>
      <c r="V2" s="615"/>
      <c r="W2" s="622"/>
      <c r="X2" s="615"/>
      <c r="Y2" s="622"/>
      <c r="Z2" s="615"/>
      <c r="AA2" s="622"/>
      <c r="AB2" s="615"/>
      <c r="AC2" s="622"/>
      <c r="AD2" s="605"/>
      <c r="AE2" s="624"/>
    </row>
    <row r="3" spans="1:31" s="21" customFormat="1" ht="27" customHeight="1">
      <c r="B3" s="45"/>
      <c r="C3" s="1750" t="s">
        <v>220</v>
      </c>
      <c r="D3" s="1751"/>
      <c r="E3" s="1752"/>
      <c r="F3" s="494"/>
      <c r="G3" s="1750" t="s">
        <v>198</v>
      </c>
      <c r="H3" s="1759"/>
      <c r="I3" s="1759"/>
      <c r="J3" s="1759"/>
      <c r="K3" s="1759"/>
      <c r="L3" s="1759"/>
      <c r="M3" s="1759"/>
      <c r="N3" s="1759"/>
      <c r="O3" s="1760"/>
      <c r="P3" s="1765" t="s">
        <v>199</v>
      </c>
      <c r="Q3" s="1766"/>
      <c r="R3" s="1767"/>
      <c r="S3" s="1767"/>
      <c r="T3" s="1767"/>
      <c r="U3" s="1767"/>
      <c r="V3" s="1767"/>
      <c r="W3" s="1767"/>
      <c r="X3" s="1767"/>
      <c r="Y3" s="1768"/>
      <c r="Z3" s="1761" t="s">
        <v>200</v>
      </c>
      <c r="AA3" s="1762"/>
      <c r="AB3" s="1763"/>
      <c r="AC3" s="1764"/>
      <c r="AE3" s="20"/>
    </row>
    <row r="4" spans="1:31" s="501" customFormat="1" ht="20.100000000000001" customHeight="1">
      <c r="B4" s="495"/>
      <c r="C4" s="1753"/>
      <c r="D4" s="1754"/>
      <c r="E4" s="1755"/>
      <c r="F4" s="496" t="s">
        <v>221</v>
      </c>
      <c r="G4" s="496"/>
      <c r="H4" s="1769" t="s">
        <v>222</v>
      </c>
      <c r="I4" s="1770"/>
      <c r="J4" s="1769" t="s">
        <v>584</v>
      </c>
      <c r="K4" s="1773"/>
      <c r="L4" s="497"/>
      <c r="M4" s="497"/>
      <c r="N4" s="497"/>
      <c r="O4" s="498"/>
      <c r="P4" s="499"/>
      <c r="Q4" s="500"/>
      <c r="R4" s="1779" t="s">
        <v>222</v>
      </c>
      <c r="S4" s="1780"/>
      <c r="T4" s="1769" t="s">
        <v>584</v>
      </c>
      <c r="U4" s="1773"/>
      <c r="V4" s="497"/>
      <c r="W4" s="497"/>
      <c r="X4" s="497"/>
      <c r="Y4" s="498"/>
      <c r="Z4" s="1775"/>
      <c r="AA4" s="1776"/>
      <c r="AB4" s="1769" t="s">
        <v>222</v>
      </c>
      <c r="AC4" s="1770"/>
    </row>
    <row r="5" spans="1:31" s="21" customFormat="1" ht="27" customHeight="1">
      <c r="B5" s="45"/>
      <c r="C5" s="1756"/>
      <c r="D5" s="1757"/>
      <c r="E5" s="1758"/>
      <c r="F5" s="502" t="s">
        <v>223</v>
      </c>
      <c r="G5" s="502"/>
      <c r="H5" s="1771"/>
      <c r="I5" s="1772"/>
      <c r="J5" s="1771"/>
      <c r="K5" s="1774"/>
      <c r="L5" s="1782" t="s">
        <v>224</v>
      </c>
      <c r="M5" s="1783"/>
      <c r="N5" s="1784" t="s">
        <v>225</v>
      </c>
      <c r="O5" s="1785"/>
      <c r="P5" s="503"/>
      <c r="Q5" s="504"/>
      <c r="R5" s="1781"/>
      <c r="S5" s="1780"/>
      <c r="T5" s="1771"/>
      <c r="U5" s="1774"/>
      <c r="V5" s="1784" t="s">
        <v>224</v>
      </c>
      <c r="W5" s="1786"/>
      <c r="X5" s="1784" t="s">
        <v>226</v>
      </c>
      <c r="Y5" s="1785"/>
      <c r="Z5" s="1777"/>
      <c r="AA5" s="1778"/>
      <c r="AB5" s="1771"/>
      <c r="AC5" s="1772"/>
      <c r="AE5" s="20"/>
    </row>
    <row r="6" spans="1:31" s="11" customFormat="1" ht="12" hidden="1" customHeight="1">
      <c r="A6" s="609"/>
      <c r="B6" s="505"/>
      <c r="C6" s="579"/>
      <c r="D6" s="1542"/>
      <c r="E6" s="1399"/>
      <c r="F6" s="1533"/>
      <c r="G6" s="1534" t="s">
        <v>1044</v>
      </c>
      <c r="H6" s="1532" t="s">
        <v>1074</v>
      </c>
      <c r="I6" s="1535"/>
      <c r="J6" s="1536" t="s">
        <v>1075</v>
      </c>
      <c r="K6" s="1535"/>
      <c r="L6" s="1537" t="s">
        <v>1076</v>
      </c>
      <c r="M6" s="1538"/>
      <c r="N6" s="1532" t="s">
        <v>1077</v>
      </c>
      <c r="O6" s="1539"/>
      <c r="P6" s="1532" t="s">
        <v>1047</v>
      </c>
      <c r="Q6" s="1540"/>
      <c r="R6" s="1532" t="s">
        <v>1078</v>
      </c>
      <c r="S6" s="1538"/>
      <c r="T6" s="1532" t="s">
        <v>1079</v>
      </c>
      <c r="U6" s="1538"/>
      <c r="V6" s="1532" t="s">
        <v>1080</v>
      </c>
      <c r="W6" s="1538"/>
      <c r="X6" s="1532" t="s">
        <v>1081</v>
      </c>
      <c r="Y6" s="1539"/>
      <c r="Z6" s="1532" t="s">
        <v>1048</v>
      </c>
      <c r="AA6" s="1541"/>
      <c r="AB6" s="1532" t="s">
        <v>1082</v>
      </c>
      <c r="AC6" s="1257"/>
    </row>
    <row r="7" spans="1:31" s="11" customFormat="1" ht="19.5" customHeight="1">
      <c r="A7" s="609"/>
      <c r="B7" s="505"/>
      <c r="C7" s="1750" t="s">
        <v>227</v>
      </c>
      <c r="D7" s="1787"/>
      <c r="E7" s="1788"/>
      <c r="F7" s="577" t="str">
        <f>情報!$B$4</f>
        <v>元</v>
      </c>
      <c r="G7" s="154">
        <f t="shared" ref="G7:H9" si="0">G13+G28</f>
        <v>4125112</v>
      </c>
      <c r="H7" s="154">
        <f t="shared" si="0"/>
        <v>165536</v>
      </c>
      <c r="I7" s="147"/>
      <c r="J7" s="1058">
        <f>J13+J28</f>
        <v>1111420</v>
      </c>
      <c r="K7" s="903"/>
      <c r="L7" s="154">
        <f>L13+L28</f>
        <v>527304</v>
      </c>
      <c r="M7" s="903"/>
      <c r="N7" s="154">
        <f>N13+N28</f>
        <v>91685</v>
      </c>
      <c r="O7" s="147"/>
      <c r="P7" s="154">
        <f>P13+P28</f>
        <v>4124924</v>
      </c>
      <c r="Q7" s="158"/>
      <c r="R7" s="154">
        <f>R13+R28</f>
        <v>165536</v>
      </c>
      <c r="S7" s="158"/>
      <c r="T7" s="1058">
        <f>T13+T28</f>
        <v>1111420</v>
      </c>
      <c r="U7" s="158"/>
      <c r="V7" s="154">
        <f>V13+V28</f>
        <v>527304</v>
      </c>
      <c r="W7" s="158"/>
      <c r="X7" s="154">
        <f>X13+X28</f>
        <v>91685</v>
      </c>
      <c r="Y7" s="147"/>
      <c r="Z7" s="154">
        <f>Z13</f>
        <v>188</v>
      </c>
      <c r="AA7" s="147"/>
      <c r="AB7" s="154">
        <f>AB13</f>
        <v>0</v>
      </c>
      <c r="AC7" s="147"/>
    </row>
    <row r="8" spans="1:31" s="11" customFormat="1" ht="19.5" customHeight="1">
      <c r="A8" s="609"/>
      <c r="B8" s="505"/>
      <c r="C8" s="1789"/>
      <c r="D8" s="1790"/>
      <c r="E8" s="1791"/>
      <c r="F8" s="577">
        <f>情報!$B$3</f>
        <v>2</v>
      </c>
      <c r="G8" s="154">
        <f t="shared" si="0"/>
        <v>4054474</v>
      </c>
      <c r="H8" s="154">
        <f t="shared" si="0"/>
        <v>158512</v>
      </c>
      <c r="I8" s="147"/>
      <c r="J8" s="1058">
        <f>J14+J29</f>
        <v>1108119</v>
      </c>
      <c r="K8" s="903"/>
      <c r="L8" s="154">
        <f>L14+L29</f>
        <v>552131</v>
      </c>
      <c r="M8" s="903"/>
      <c r="N8" s="154">
        <f>N14+N29</f>
        <v>97546</v>
      </c>
      <c r="O8" s="147"/>
      <c r="P8" s="154">
        <f>P14+P29</f>
        <v>4054473</v>
      </c>
      <c r="Q8" s="158"/>
      <c r="R8" s="154">
        <f>R14+R29</f>
        <v>158512</v>
      </c>
      <c r="S8" s="158"/>
      <c r="T8" s="1058">
        <f>T14+T29</f>
        <v>1108119</v>
      </c>
      <c r="U8" s="158"/>
      <c r="V8" s="154">
        <f>V14+V29</f>
        <v>552131</v>
      </c>
      <c r="W8" s="158"/>
      <c r="X8" s="154">
        <f>X14+X29</f>
        <v>97546</v>
      </c>
      <c r="Y8" s="147"/>
      <c r="Z8" s="154">
        <f>Z14</f>
        <v>1</v>
      </c>
      <c r="AA8" s="147"/>
      <c r="AB8" s="154">
        <f>AB14</f>
        <v>0</v>
      </c>
      <c r="AC8" s="147"/>
    </row>
    <row r="9" spans="1:31" s="11" customFormat="1" ht="19.5" customHeight="1">
      <c r="A9" s="609"/>
      <c r="B9" s="505"/>
      <c r="C9" s="1789"/>
      <c r="D9" s="1790"/>
      <c r="E9" s="1791"/>
      <c r="F9" s="577">
        <f>情報!$B$2</f>
        <v>3</v>
      </c>
      <c r="G9" s="154">
        <f t="shared" si="0"/>
        <v>3943984</v>
      </c>
      <c r="H9" s="154">
        <f t="shared" si="0"/>
        <v>151813</v>
      </c>
      <c r="I9" s="147"/>
      <c r="J9" s="1058">
        <f>J15+J30</f>
        <v>1073388</v>
      </c>
      <c r="K9" s="903"/>
      <c r="L9" s="154">
        <f>L15+L30</f>
        <v>543592</v>
      </c>
      <c r="M9" s="903"/>
      <c r="N9" s="154">
        <f>N15+N30</f>
        <v>96121</v>
      </c>
      <c r="O9" s="147"/>
      <c r="P9" s="154">
        <f>P15+P30</f>
        <v>3943984</v>
      </c>
      <c r="Q9" s="158"/>
      <c r="R9" s="154">
        <f>R15+R30</f>
        <v>151813</v>
      </c>
      <c r="S9" s="158"/>
      <c r="T9" s="1058">
        <f>T15+T30</f>
        <v>1073388</v>
      </c>
      <c r="U9" s="158"/>
      <c r="V9" s="154">
        <f>V15+V30</f>
        <v>543592</v>
      </c>
      <c r="W9" s="158"/>
      <c r="X9" s="154">
        <f>X15+X30</f>
        <v>96121</v>
      </c>
      <c r="Y9" s="147"/>
      <c r="Z9" s="154">
        <f>Z15</f>
        <v>0</v>
      </c>
      <c r="AA9" s="147"/>
      <c r="AB9" s="154">
        <f>AB15</f>
        <v>0</v>
      </c>
      <c r="AC9" s="147"/>
    </row>
    <row r="10" spans="1:31" s="11" customFormat="1" ht="19.5" customHeight="1">
      <c r="A10" s="609"/>
      <c r="B10" s="505"/>
      <c r="C10" s="506"/>
      <c r="D10" s="1744" t="s">
        <v>228</v>
      </c>
      <c r="E10" s="1745"/>
      <c r="F10" s="610" t="str">
        <f>F7</f>
        <v>元</v>
      </c>
      <c r="G10" s="156">
        <f t="shared" ref="G10:H12" si="1">G13+G32</f>
        <v>3270837</v>
      </c>
      <c r="H10" s="156">
        <f t="shared" si="1"/>
        <v>103044</v>
      </c>
      <c r="I10" s="148"/>
      <c r="J10" s="1059">
        <f>J13+J32</f>
        <v>1009311</v>
      </c>
      <c r="K10" s="157">
        <v>0</v>
      </c>
      <c r="L10" s="156">
        <f>L13+L32</f>
        <v>498999</v>
      </c>
      <c r="M10" s="157">
        <v>0</v>
      </c>
      <c r="N10" s="156">
        <f>N13+N32</f>
        <v>80066</v>
      </c>
      <c r="O10" s="148">
        <v>0</v>
      </c>
      <c r="P10" s="156">
        <f>P13+P32</f>
        <v>3270649</v>
      </c>
      <c r="Q10" s="157">
        <v>0</v>
      </c>
      <c r="R10" s="156">
        <f>R13+R32</f>
        <v>103044</v>
      </c>
      <c r="S10" s="157">
        <v>0</v>
      </c>
      <c r="T10" s="1059">
        <f>T13+T32</f>
        <v>1009311</v>
      </c>
      <c r="U10" s="157">
        <v>0</v>
      </c>
      <c r="V10" s="156">
        <f>V13+V32</f>
        <v>498999</v>
      </c>
      <c r="W10" s="157">
        <v>0</v>
      </c>
      <c r="X10" s="156">
        <f>X13+X32</f>
        <v>80066</v>
      </c>
      <c r="Y10" s="148">
        <v>0</v>
      </c>
      <c r="Z10" s="1133">
        <f>Z13</f>
        <v>188</v>
      </c>
      <c r="AA10" s="148">
        <v>0</v>
      </c>
      <c r="AB10" s="1133">
        <f>AB13</f>
        <v>0</v>
      </c>
      <c r="AC10" s="148">
        <v>0</v>
      </c>
    </row>
    <row r="11" spans="1:31" s="11" customFormat="1" ht="19.5" customHeight="1">
      <c r="A11" s="609"/>
      <c r="B11" s="505"/>
      <c r="C11" s="506"/>
      <c r="D11" s="1746"/>
      <c r="E11" s="1747"/>
      <c r="F11" s="577">
        <f>F8</f>
        <v>2</v>
      </c>
      <c r="G11" s="154">
        <f t="shared" si="1"/>
        <v>3199071</v>
      </c>
      <c r="H11" s="154">
        <f t="shared" si="1"/>
        <v>96042</v>
      </c>
      <c r="I11" s="147"/>
      <c r="J11" s="1058">
        <f>J14+J33</f>
        <v>1004195</v>
      </c>
      <c r="K11" s="158">
        <v>0</v>
      </c>
      <c r="L11" s="154">
        <f>L14+L33</f>
        <v>521444</v>
      </c>
      <c r="M11" s="158">
        <v>0</v>
      </c>
      <c r="N11" s="154">
        <f>N14+N33</f>
        <v>83911</v>
      </c>
      <c r="O11" s="147">
        <v>0</v>
      </c>
      <c r="P11" s="154">
        <f>P14+P33</f>
        <v>3199070</v>
      </c>
      <c r="Q11" s="158">
        <v>0</v>
      </c>
      <c r="R11" s="154">
        <f>R14+R33</f>
        <v>96042</v>
      </c>
      <c r="S11" s="158">
        <v>0</v>
      </c>
      <c r="T11" s="1058">
        <f>T14+T33</f>
        <v>1004195</v>
      </c>
      <c r="U11" s="158">
        <v>0</v>
      </c>
      <c r="V11" s="154">
        <f>V14+V33</f>
        <v>521444</v>
      </c>
      <c r="W11" s="158">
        <v>0</v>
      </c>
      <c r="X11" s="154">
        <f>X14+X33</f>
        <v>83911</v>
      </c>
      <c r="Y11" s="147"/>
      <c r="Z11" s="154">
        <f>Z14</f>
        <v>1</v>
      </c>
      <c r="AA11" s="147">
        <v>0</v>
      </c>
      <c r="AB11" s="154">
        <f>AB14</f>
        <v>0</v>
      </c>
      <c r="AC11" s="147">
        <v>0</v>
      </c>
    </row>
    <row r="12" spans="1:31" s="11" customFormat="1" ht="19.5" customHeight="1" thickBot="1">
      <c r="A12" s="609"/>
      <c r="B12" s="505"/>
      <c r="C12" s="506"/>
      <c r="D12" s="1748"/>
      <c r="E12" s="1749"/>
      <c r="F12" s="611">
        <f>F9</f>
        <v>3</v>
      </c>
      <c r="G12" s="1017">
        <f t="shared" si="1"/>
        <v>3092350</v>
      </c>
      <c r="H12" s="1017">
        <f t="shared" si="1"/>
        <v>89597</v>
      </c>
      <c r="I12" s="149"/>
      <c r="J12" s="1060">
        <f>J15+J34</f>
        <v>971363</v>
      </c>
      <c r="K12" s="1021">
        <v>0</v>
      </c>
      <c r="L12" s="1017">
        <f>L15+L34</f>
        <v>513213</v>
      </c>
      <c r="M12" s="1021">
        <v>0</v>
      </c>
      <c r="N12" s="1017">
        <f>N15+N34</f>
        <v>81380</v>
      </c>
      <c r="O12" s="149">
        <v>0</v>
      </c>
      <c r="P12" s="1017">
        <f>P15+P34</f>
        <v>3092350</v>
      </c>
      <c r="Q12" s="1021">
        <v>0</v>
      </c>
      <c r="R12" s="1017">
        <f>R15+R34</f>
        <v>89597</v>
      </c>
      <c r="S12" s="1021">
        <v>0</v>
      </c>
      <c r="T12" s="1060">
        <f>T15+T34</f>
        <v>971363</v>
      </c>
      <c r="U12" s="1021">
        <v>0</v>
      </c>
      <c r="V12" s="1017">
        <f>V15+V34</f>
        <v>513213</v>
      </c>
      <c r="W12" s="1021">
        <v>0</v>
      </c>
      <c r="X12" s="1017">
        <f>X15+X34</f>
        <v>81380</v>
      </c>
      <c r="Y12" s="149">
        <v>0</v>
      </c>
      <c r="Z12" s="1017">
        <f>Z15</f>
        <v>0</v>
      </c>
      <c r="AA12" s="149">
        <v>0</v>
      </c>
      <c r="AB12" s="1017">
        <f>AB15</f>
        <v>0</v>
      </c>
      <c r="AC12" s="149">
        <v>0</v>
      </c>
    </row>
    <row r="13" spans="1:31" s="11" customFormat="1" ht="19.5" customHeight="1" thickTop="1">
      <c r="A13" s="609"/>
      <c r="B13" s="505"/>
      <c r="C13" s="1793" t="s">
        <v>583</v>
      </c>
      <c r="D13" s="1794"/>
      <c r="E13" s="1795"/>
      <c r="F13" s="577" t="str">
        <f>F7</f>
        <v>元</v>
      </c>
      <c r="G13" s="153">
        <f t="shared" ref="G13:H15" si="2">G16+G19</f>
        <v>2877664</v>
      </c>
      <c r="H13" s="153">
        <f t="shared" si="2"/>
        <v>74820</v>
      </c>
      <c r="I13" s="152"/>
      <c r="J13" s="1061">
        <f>J16+J19</f>
        <v>966433</v>
      </c>
      <c r="K13" s="1062">
        <v>0</v>
      </c>
      <c r="L13" s="153">
        <f>L16+L19</f>
        <v>487355</v>
      </c>
      <c r="M13" s="1062">
        <v>0</v>
      </c>
      <c r="N13" s="153">
        <f>N16+N19</f>
        <v>71283</v>
      </c>
      <c r="O13" s="152">
        <v>0</v>
      </c>
      <c r="P13" s="153">
        <f>P16+P19</f>
        <v>2877476</v>
      </c>
      <c r="Q13" s="1062">
        <v>0</v>
      </c>
      <c r="R13" s="153">
        <f>R16+R19</f>
        <v>74820</v>
      </c>
      <c r="S13" s="1062">
        <v>0</v>
      </c>
      <c r="T13" s="1061">
        <f>T16+T19</f>
        <v>966433</v>
      </c>
      <c r="U13" s="1062">
        <v>0</v>
      </c>
      <c r="V13" s="153">
        <f>V16+V19</f>
        <v>487355</v>
      </c>
      <c r="W13" s="1062">
        <v>0</v>
      </c>
      <c r="X13" s="153">
        <f>X16+X19</f>
        <v>71283</v>
      </c>
      <c r="Y13" s="152">
        <v>0</v>
      </c>
      <c r="Z13" s="153">
        <f>Z16+Z19</f>
        <v>188</v>
      </c>
      <c r="AA13" s="152">
        <v>0</v>
      </c>
      <c r="AB13" s="153">
        <f>AB16+AB19</f>
        <v>0</v>
      </c>
      <c r="AC13" s="152">
        <v>0</v>
      </c>
    </row>
    <row r="14" spans="1:31" s="11" customFormat="1" ht="19.5" customHeight="1">
      <c r="A14" s="609"/>
      <c r="B14" s="505"/>
      <c r="C14" s="1796"/>
      <c r="D14" s="1797"/>
      <c r="E14" s="1798"/>
      <c r="F14" s="577">
        <f>F8</f>
        <v>2</v>
      </c>
      <c r="G14" s="154">
        <f t="shared" si="2"/>
        <v>2812525</v>
      </c>
      <c r="H14" s="154">
        <f t="shared" si="2"/>
        <v>68793</v>
      </c>
      <c r="I14" s="147"/>
      <c r="J14" s="1058">
        <f>J17+J20</f>
        <v>962463</v>
      </c>
      <c r="K14" s="158">
        <v>0</v>
      </c>
      <c r="L14" s="154">
        <f>L17+L20</f>
        <v>509722</v>
      </c>
      <c r="M14" s="158">
        <v>0</v>
      </c>
      <c r="N14" s="154">
        <f>N17+N20</f>
        <v>74679</v>
      </c>
      <c r="O14" s="147">
        <v>0</v>
      </c>
      <c r="P14" s="154">
        <f>P17+P20</f>
        <v>2812524</v>
      </c>
      <c r="Q14" s="158">
        <v>0</v>
      </c>
      <c r="R14" s="154">
        <f>R17+R20</f>
        <v>68793</v>
      </c>
      <c r="S14" s="158">
        <v>0</v>
      </c>
      <c r="T14" s="1058">
        <f>T17+T20</f>
        <v>962463</v>
      </c>
      <c r="U14" s="158">
        <v>0</v>
      </c>
      <c r="V14" s="154">
        <f>V17+V20</f>
        <v>509722</v>
      </c>
      <c r="W14" s="158">
        <v>0</v>
      </c>
      <c r="X14" s="154">
        <f>X17+X20</f>
        <v>74679</v>
      </c>
      <c r="Y14" s="147"/>
      <c r="Z14" s="154">
        <f>Z17+Z20</f>
        <v>1</v>
      </c>
      <c r="AA14" s="147">
        <v>0</v>
      </c>
      <c r="AB14" s="154">
        <f>AB17+AB20</f>
        <v>0</v>
      </c>
      <c r="AC14" s="147">
        <v>0</v>
      </c>
    </row>
    <row r="15" spans="1:31" s="11" customFormat="1" ht="19.5" customHeight="1">
      <c r="A15" s="609"/>
      <c r="B15" s="505"/>
      <c r="C15" s="1796"/>
      <c r="D15" s="1799"/>
      <c r="E15" s="1800"/>
      <c r="F15" s="781">
        <f>F9</f>
        <v>3</v>
      </c>
      <c r="G15" s="181">
        <f t="shared" si="2"/>
        <v>2711517</v>
      </c>
      <c r="H15" s="181">
        <f t="shared" si="2"/>
        <v>63361</v>
      </c>
      <c r="I15" s="202"/>
      <c r="J15" s="1068">
        <f>J18+J21</f>
        <v>931558</v>
      </c>
      <c r="K15" s="201">
        <v>0</v>
      </c>
      <c r="L15" s="181">
        <f>L18+L21</f>
        <v>502137</v>
      </c>
      <c r="M15" s="201">
        <v>0</v>
      </c>
      <c r="N15" s="181">
        <f>N18+N21</f>
        <v>72329</v>
      </c>
      <c r="O15" s="202">
        <v>0</v>
      </c>
      <c r="P15" s="181">
        <f>P18+P21</f>
        <v>2711517</v>
      </c>
      <c r="Q15" s="201">
        <v>0</v>
      </c>
      <c r="R15" s="181">
        <f>R18+R21</f>
        <v>63361</v>
      </c>
      <c r="S15" s="201">
        <v>0</v>
      </c>
      <c r="T15" s="1068">
        <f>T18+T21</f>
        <v>931558</v>
      </c>
      <c r="U15" s="201">
        <v>0</v>
      </c>
      <c r="V15" s="181">
        <f>V18+V21</f>
        <v>502137</v>
      </c>
      <c r="W15" s="201">
        <v>0</v>
      </c>
      <c r="X15" s="181">
        <f>X18+X21</f>
        <v>72329</v>
      </c>
      <c r="Y15" s="202">
        <v>0</v>
      </c>
      <c r="Z15" s="181">
        <f>Z18+Z21</f>
        <v>0</v>
      </c>
      <c r="AA15" s="202">
        <v>0</v>
      </c>
      <c r="AB15" s="181">
        <f>AB18+AB21</f>
        <v>0</v>
      </c>
      <c r="AC15" s="150">
        <v>0</v>
      </c>
    </row>
    <row r="16" spans="1:31" s="11" customFormat="1" ht="19.5" customHeight="1">
      <c r="A16" s="609"/>
      <c r="B16" s="505"/>
      <c r="C16" s="506"/>
      <c r="D16" s="1750" t="s">
        <v>229</v>
      </c>
      <c r="E16" s="1801"/>
      <c r="F16" s="1233" t="str">
        <f>F7</f>
        <v>元</v>
      </c>
      <c r="G16" s="1208">
        <f>'表1-1'!I29</f>
        <v>1982079</v>
      </c>
      <c r="H16" s="1214">
        <v>51557</v>
      </c>
      <c r="I16" s="1066"/>
      <c r="J16" s="1211">
        <v>611645</v>
      </c>
      <c r="K16" s="1066"/>
      <c r="L16" s="1067">
        <v>306312</v>
      </c>
      <c r="M16" s="1067"/>
      <c r="N16" s="1214">
        <v>47398</v>
      </c>
      <c r="O16" s="1066"/>
      <c r="P16" s="1214">
        <f>'表1-1'!L29</f>
        <v>1981944</v>
      </c>
      <c r="Q16" s="1067"/>
      <c r="R16" s="1214">
        <v>51557</v>
      </c>
      <c r="S16" s="1067"/>
      <c r="T16" s="1211">
        <v>611645</v>
      </c>
      <c r="U16" s="1067"/>
      <c r="V16" s="1214">
        <v>306312</v>
      </c>
      <c r="W16" s="1067"/>
      <c r="X16" s="1214">
        <v>47398</v>
      </c>
      <c r="Y16" s="1066"/>
      <c r="Z16" s="1214">
        <f>'表1-1'!O29</f>
        <v>135</v>
      </c>
      <c r="AA16" s="1215"/>
      <c r="AB16" s="1214">
        <v>0</v>
      </c>
      <c r="AC16" s="1134"/>
    </row>
    <row r="17" spans="1:29" s="11" customFormat="1" ht="19.5" customHeight="1">
      <c r="A17" s="609"/>
      <c r="B17" s="505"/>
      <c r="C17" s="506"/>
      <c r="D17" s="1802"/>
      <c r="E17" s="1803"/>
      <c r="F17" s="599">
        <f>F8</f>
        <v>2</v>
      </c>
      <c r="G17" s="1209">
        <f>'表1-1'!I30</f>
        <v>1928366</v>
      </c>
      <c r="H17" s="1207">
        <v>47170</v>
      </c>
      <c r="I17" s="220"/>
      <c r="J17" s="1212">
        <v>607903</v>
      </c>
      <c r="K17" s="220"/>
      <c r="L17" s="195">
        <v>319476</v>
      </c>
      <c r="M17" s="195"/>
      <c r="N17" s="1207">
        <v>49377</v>
      </c>
      <c r="O17" s="220"/>
      <c r="P17" s="1207">
        <f>'表1-1'!L30</f>
        <v>1928365</v>
      </c>
      <c r="Q17" s="195"/>
      <c r="R17" s="1207">
        <v>47170</v>
      </c>
      <c r="S17" s="195"/>
      <c r="T17" s="1212">
        <v>607903</v>
      </c>
      <c r="U17" s="195"/>
      <c r="V17" s="1207">
        <v>319476</v>
      </c>
      <c r="W17" s="195"/>
      <c r="X17" s="1207">
        <v>49377</v>
      </c>
      <c r="Y17" s="220"/>
      <c r="Z17" s="1207">
        <f>'表1-1'!O30</f>
        <v>1</v>
      </c>
      <c r="AA17" s="135"/>
      <c r="AB17" s="1207">
        <v>0</v>
      </c>
      <c r="AC17" s="1170"/>
    </row>
    <row r="18" spans="1:29" s="11" customFormat="1" ht="19.5" customHeight="1">
      <c r="A18" s="609"/>
      <c r="B18" s="505"/>
      <c r="C18" s="506"/>
      <c r="D18" s="1804"/>
      <c r="E18" s="1805"/>
      <c r="F18" s="1234">
        <f>F9</f>
        <v>3</v>
      </c>
      <c r="G18" s="1210">
        <f>'表1-1'!I31</f>
        <v>1850486</v>
      </c>
      <c r="H18" s="1217">
        <v>43260</v>
      </c>
      <c r="I18" s="1218"/>
      <c r="J18" s="1617">
        <v>586532</v>
      </c>
      <c r="K18" s="1218"/>
      <c r="L18" s="1219">
        <v>313401</v>
      </c>
      <c r="M18" s="1219"/>
      <c r="N18" s="1217">
        <v>47214</v>
      </c>
      <c r="O18" s="1218"/>
      <c r="P18" s="1217">
        <f>'表1-1'!L31</f>
        <v>1850486</v>
      </c>
      <c r="Q18" s="1219"/>
      <c r="R18" s="1217">
        <v>43260</v>
      </c>
      <c r="S18" s="1219"/>
      <c r="T18" s="1617">
        <v>586532</v>
      </c>
      <c r="U18" s="1219"/>
      <c r="V18" s="1217">
        <v>313401</v>
      </c>
      <c r="W18" s="1219"/>
      <c r="X18" s="1217">
        <v>47214</v>
      </c>
      <c r="Y18" s="202"/>
      <c r="Z18" s="1217">
        <f>'表1-1'!O31</f>
        <v>0</v>
      </c>
      <c r="AA18" s="1220"/>
      <c r="AB18" s="1217">
        <v>0</v>
      </c>
      <c r="AC18" s="1171"/>
    </row>
    <row r="19" spans="1:29" s="11" customFormat="1" ht="19.5" customHeight="1">
      <c r="A19" s="609"/>
      <c r="B19" s="505"/>
      <c r="C19" s="506"/>
      <c r="D19" s="1750" t="s">
        <v>230</v>
      </c>
      <c r="E19" s="1801"/>
      <c r="F19" s="577" t="str">
        <f>F7</f>
        <v>元</v>
      </c>
      <c r="G19" s="156">
        <f t="shared" ref="G19:H21" si="3">G22+G25</f>
        <v>895585</v>
      </c>
      <c r="H19" s="156">
        <f t="shared" si="3"/>
        <v>23263</v>
      </c>
      <c r="I19" s="148"/>
      <c r="J19" s="1059">
        <f>J22+J25</f>
        <v>354788</v>
      </c>
      <c r="K19" s="148"/>
      <c r="L19" s="156">
        <f>L22+L25</f>
        <v>181043</v>
      </c>
      <c r="M19" s="157"/>
      <c r="N19" s="156">
        <f>N22+N25</f>
        <v>23885</v>
      </c>
      <c r="O19" s="148"/>
      <c r="P19" s="156">
        <f>P22+P25</f>
        <v>895532</v>
      </c>
      <c r="Q19" s="157"/>
      <c r="R19" s="156">
        <f>R22+R25</f>
        <v>23263</v>
      </c>
      <c r="S19" s="157"/>
      <c r="T19" s="1059">
        <f>T22+T25</f>
        <v>354788</v>
      </c>
      <c r="U19" s="157"/>
      <c r="V19" s="156">
        <f>V22+V25</f>
        <v>181043</v>
      </c>
      <c r="W19" s="157"/>
      <c r="X19" s="156">
        <f>X22+X25</f>
        <v>23885</v>
      </c>
      <c r="Y19" s="148"/>
      <c r="Z19" s="1133">
        <f>Z22+Z25</f>
        <v>53</v>
      </c>
      <c r="AA19" s="148"/>
      <c r="AB19" s="1133">
        <f>AB22+AB25</f>
        <v>0</v>
      </c>
      <c r="AC19" s="148"/>
    </row>
    <row r="20" spans="1:29" s="11" customFormat="1" ht="19.5" customHeight="1">
      <c r="A20" s="609"/>
      <c r="B20" s="505"/>
      <c r="C20" s="506"/>
      <c r="D20" s="1802"/>
      <c r="E20" s="1803"/>
      <c r="F20" s="577">
        <f>F8</f>
        <v>2</v>
      </c>
      <c r="G20" s="154">
        <f t="shared" si="3"/>
        <v>884159</v>
      </c>
      <c r="H20" s="154">
        <f t="shared" si="3"/>
        <v>21623</v>
      </c>
      <c r="I20" s="147"/>
      <c r="J20" s="1058">
        <f>J23+J26</f>
        <v>354560</v>
      </c>
      <c r="K20" s="147"/>
      <c r="L20" s="154">
        <f>L23+L26</f>
        <v>190246</v>
      </c>
      <c r="M20" s="158"/>
      <c r="N20" s="154">
        <f>N23+N26</f>
        <v>25302</v>
      </c>
      <c r="O20" s="147"/>
      <c r="P20" s="154">
        <f>P23+P26</f>
        <v>884159</v>
      </c>
      <c r="Q20" s="158"/>
      <c r="R20" s="154">
        <f>R23+R26</f>
        <v>21623</v>
      </c>
      <c r="S20" s="158"/>
      <c r="T20" s="1058">
        <f>T23+T26</f>
        <v>354560</v>
      </c>
      <c r="U20" s="158"/>
      <c r="V20" s="154">
        <f>V23+V26</f>
        <v>190246</v>
      </c>
      <c r="W20" s="158"/>
      <c r="X20" s="154">
        <f>X23+X26</f>
        <v>25302</v>
      </c>
      <c r="Y20" s="147"/>
      <c r="Z20" s="154">
        <f>Z23+Z26</f>
        <v>0</v>
      </c>
      <c r="AA20" s="147"/>
      <c r="AB20" s="154">
        <f>AB23+AB26</f>
        <v>0</v>
      </c>
      <c r="AC20" s="147"/>
    </row>
    <row r="21" spans="1:29" s="11" customFormat="1" ht="19.5" customHeight="1">
      <c r="A21" s="609"/>
      <c r="B21" s="505"/>
      <c r="C21" s="506"/>
      <c r="D21" s="1802"/>
      <c r="E21" s="1805"/>
      <c r="F21" s="612">
        <f>F9</f>
        <v>3</v>
      </c>
      <c r="G21" s="155">
        <f t="shared" si="3"/>
        <v>861031</v>
      </c>
      <c r="H21" s="155">
        <f t="shared" si="3"/>
        <v>20101</v>
      </c>
      <c r="I21" s="150"/>
      <c r="J21" s="1063">
        <f>J24+J27</f>
        <v>345026</v>
      </c>
      <c r="K21" s="151"/>
      <c r="L21" s="155">
        <f>L24+L27</f>
        <v>188736</v>
      </c>
      <c r="M21" s="1031"/>
      <c r="N21" s="155">
        <f>N24+N27</f>
        <v>25115</v>
      </c>
      <c r="O21" s="151"/>
      <c r="P21" s="155">
        <f>P24+P27</f>
        <v>861031</v>
      </c>
      <c r="Q21" s="159"/>
      <c r="R21" s="155">
        <f>R24+R27</f>
        <v>20101</v>
      </c>
      <c r="S21" s="159"/>
      <c r="T21" s="1063">
        <f>T24+T27</f>
        <v>345026</v>
      </c>
      <c r="U21" s="159"/>
      <c r="V21" s="155">
        <f>V24+V27</f>
        <v>188736</v>
      </c>
      <c r="W21" s="159"/>
      <c r="X21" s="155">
        <f>X24+X27</f>
        <v>25115</v>
      </c>
      <c r="Y21" s="150"/>
      <c r="Z21" s="1135">
        <f>Z24+Z27</f>
        <v>0</v>
      </c>
      <c r="AA21" s="150"/>
      <c r="AB21" s="1135">
        <f>AB24+AB27</f>
        <v>0</v>
      </c>
      <c r="AC21" s="150"/>
    </row>
    <row r="22" spans="1:29" s="11" customFormat="1" ht="19.5" customHeight="1">
      <c r="A22" s="609"/>
      <c r="B22" s="505"/>
      <c r="C22" s="506"/>
      <c r="D22" s="507"/>
      <c r="E22" s="1806" t="s">
        <v>231</v>
      </c>
      <c r="F22" s="610" t="str">
        <f>F7</f>
        <v>元</v>
      </c>
      <c r="G22" s="1208">
        <f>'表1-1'!I41</f>
        <v>887019</v>
      </c>
      <c r="H22" s="1214">
        <v>22978</v>
      </c>
      <c r="I22" s="1066"/>
      <c r="J22" s="1211">
        <v>351314</v>
      </c>
      <c r="K22" s="1066"/>
      <c r="L22" s="1067">
        <v>179364</v>
      </c>
      <c r="M22" s="1067"/>
      <c r="N22" s="1214">
        <v>23730</v>
      </c>
      <c r="O22" s="1066"/>
      <c r="P22" s="1214">
        <f>'表1-1'!L41</f>
        <v>886966</v>
      </c>
      <c r="Q22" s="1067"/>
      <c r="R22" s="1214">
        <v>22978</v>
      </c>
      <c r="S22" s="1067"/>
      <c r="T22" s="1211">
        <v>351314</v>
      </c>
      <c r="U22" s="1067"/>
      <c r="V22" s="1214">
        <v>179364</v>
      </c>
      <c r="W22" s="1067"/>
      <c r="X22" s="1214">
        <v>23730</v>
      </c>
      <c r="Y22" s="1066"/>
      <c r="Z22" s="1214">
        <f>'表1-1'!O41</f>
        <v>53</v>
      </c>
      <c r="AA22" s="1215"/>
      <c r="AB22" s="1214">
        <v>0</v>
      </c>
      <c r="AC22" s="1134"/>
    </row>
    <row r="23" spans="1:29" s="11" customFormat="1" ht="19.5" customHeight="1">
      <c r="A23" s="609"/>
      <c r="B23" s="505"/>
      <c r="C23" s="506"/>
      <c r="D23" s="508"/>
      <c r="E23" s="1806"/>
      <c r="F23" s="577">
        <f>F8</f>
        <v>2</v>
      </c>
      <c r="G23" s="1209">
        <f>'表1-1'!I42</f>
        <v>875990</v>
      </c>
      <c r="H23" s="1207">
        <v>21366</v>
      </c>
      <c r="I23" s="220"/>
      <c r="J23" s="1212">
        <v>351162</v>
      </c>
      <c r="K23" s="220"/>
      <c r="L23" s="195">
        <v>188459</v>
      </c>
      <c r="M23" s="195"/>
      <c r="N23" s="1207">
        <v>25140</v>
      </c>
      <c r="O23" s="220"/>
      <c r="P23" s="1207">
        <f>'表1-1'!L42</f>
        <v>875990</v>
      </c>
      <c r="Q23" s="195"/>
      <c r="R23" s="1207">
        <v>21366</v>
      </c>
      <c r="S23" s="195"/>
      <c r="T23" s="1212">
        <v>351162</v>
      </c>
      <c r="U23" s="195"/>
      <c r="V23" s="1207">
        <v>188459</v>
      </c>
      <c r="W23" s="195"/>
      <c r="X23" s="1207">
        <v>25140</v>
      </c>
      <c r="Y23" s="220"/>
      <c r="Z23" s="1207">
        <f>'表1-1'!O42</f>
        <v>0</v>
      </c>
      <c r="AA23" s="135"/>
      <c r="AB23" s="1207">
        <v>0</v>
      </c>
      <c r="AC23" s="1170"/>
    </row>
    <row r="24" spans="1:29" s="11" customFormat="1" ht="19.5" customHeight="1">
      <c r="A24" s="609"/>
      <c r="B24" s="505"/>
      <c r="C24" s="506"/>
      <c r="D24" s="508"/>
      <c r="E24" s="1807"/>
      <c r="F24" s="613">
        <f>F9</f>
        <v>3</v>
      </c>
      <c r="G24" s="1216">
        <f>'表1-1'!I43</f>
        <v>853235</v>
      </c>
      <c r="H24" s="1217">
        <v>19872</v>
      </c>
      <c r="I24" s="1218"/>
      <c r="J24" s="1617">
        <v>341730</v>
      </c>
      <c r="K24" s="1218"/>
      <c r="L24" s="1219">
        <v>186929</v>
      </c>
      <c r="M24" s="1219"/>
      <c r="N24" s="1217">
        <v>24959</v>
      </c>
      <c r="O24" s="1218"/>
      <c r="P24" s="1217">
        <f>'表1-1'!L43</f>
        <v>853235</v>
      </c>
      <c r="Q24" s="1219"/>
      <c r="R24" s="1217">
        <v>19872</v>
      </c>
      <c r="S24" s="1219"/>
      <c r="T24" s="1617">
        <v>341730</v>
      </c>
      <c r="U24" s="1219"/>
      <c r="V24" s="1217">
        <v>186929</v>
      </c>
      <c r="W24" s="1219"/>
      <c r="X24" s="1217">
        <v>24959</v>
      </c>
      <c r="Y24" s="1218"/>
      <c r="Z24" s="1217">
        <f>'表1-1'!O43</f>
        <v>0</v>
      </c>
      <c r="AA24" s="1220"/>
      <c r="AB24" s="1217">
        <v>0</v>
      </c>
      <c r="AC24" s="1171"/>
    </row>
    <row r="25" spans="1:29" s="11" customFormat="1" ht="19.5" customHeight="1">
      <c r="A25" s="609"/>
      <c r="B25" s="505"/>
      <c r="C25" s="506"/>
      <c r="D25" s="508"/>
      <c r="E25" s="1808" t="s">
        <v>232</v>
      </c>
      <c r="F25" s="614" t="str">
        <f>F7</f>
        <v>元</v>
      </c>
      <c r="G25" s="1212">
        <f>'表1-1'!I46</f>
        <v>8566</v>
      </c>
      <c r="H25" s="1207">
        <v>285</v>
      </c>
      <c r="I25" s="220"/>
      <c r="J25" s="1207">
        <v>3474</v>
      </c>
      <c r="K25" s="220"/>
      <c r="L25" s="1207">
        <v>1679</v>
      </c>
      <c r="M25" s="195"/>
      <c r="N25" s="1207">
        <v>155</v>
      </c>
      <c r="O25" s="220"/>
      <c r="P25" s="1207">
        <f>'表1-1'!L46</f>
        <v>8566</v>
      </c>
      <c r="Q25" s="195"/>
      <c r="R25" s="1207">
        <v>285</v>
      </c>
      <c r="S25" s="195"/>
      <c r="T25" s="1212">
        <v>3474</v>
      </c>
      <c r="U25" s="195"/>
      <c r="V25" s="1207">
        <v>1679</v>
      </c>
      <c r="W25" s="195"/>
      <c r="X25" s="1207">
        <v>155</v>
      </c>
      <c r="Y25" s="220"/>
      <c r="Z25" s="1207">
        <f>'表1-1'!O46</f>
        <v>0</v>
      </c>
      <c r="AA25" s="135"/>
      <c r="AB25" s="1207">
        <v>0</v>
      </c>
      <c r="AC25" s="1170"/>
    </row>
    <row r="26" spans="1:29" s="11" customFormat="1" ht="19.5" customHeight="1">
      <c r="A26" s="609"/>
      <c r="B26" s="505"/>
      <c r="C26" s="506"/>
      <c r="D26" s="508"/>
      <c r="E26" s="1806"/>
      <c r="F26" s="577">
        <f>F8</f>
        <v>2</v>
      </c>
      <c r="G26" s="1212">
        <f>'表1-1'!I47</f>
        <v>8169</v>
      </c>
      <c r="H26" s="1207">
        <v>257</v>
      </c>
      <c r="I26" s="220"/>
      <c r="J26" s="1207">
        <v>3398</v>
      </c>
      <c r="K26" s="220"/>
      <c r="L26" s="1207">
        <v>1787</v>
      </c>
      <c r="M26" s="195"/>
      <c r="N26" s="1207">
        <v>162</v>
      </c>
      <c r="O26" s="220"/>
      <c r="P26" s="1207">
        <f>'表1-1'!L47</f>
        <v>8169</v>
      </c>
      <c r="Q26" s="195"/>
      <c r="R26" s="1207">
        <v>257</v>
      </c>
      <c r="S26" s="195"/>
      <c r="T26" s="1212">
        <v>3398</v>
      </c>
      <c r="U26" s="195"/>
      <c r="V26" s="1207">
        <v>1787</v>
      </c>
      <c r="W26" s="195"/>
      <c r="X26" s="1207">
        <v>162</v>
      </c>
      <c r="Y26" s="220"/>
      <c r="Z26" s="1207">
        <f>'表1-1'!O47</f>
        <v>0</v>
      </c>
      <c r="AA26" s="135"/>
      <c r="AB26" s="1207">
        <v>0</v>
      </c>
      <c r="AC26" s="1170"/>
    </row>
    <row r="27" spans="1:29" s="11" customFormat="1" ht="19.5" customHeight="1" thickBot="1">
      <c r="A27" s="609"/>
      <c r="B27" s="505"/>
      <c r="C27" s="509"/>
      <c r="D27" s="510"/>
      <c r="E27" s="1809"/>
      <c r="F27" s="611">
        <f>F9</f>
        <v>3</v>
      </c>
      <c r="G27" s="1212">
        <f>'表1-1'!I48</f>
        <v>7796</v>
      </c>
      <c r="H27" s="1618">
        <v>229</v>
      </c>
      <c r="I27" s="1221"/>
      <c r="J27" s="1618">
        <v>3296</v>
      </c>
      <c r="K27" s="1221"/>
      <c r="L27" s="1618">
        <v>1807</v>
      </c>
      <c r="M27" s="1222"/>
      <c r="N27" s="1618">
        <v>156</v>
      </c>
      <c r="O27" s="220"/>
      <c r="P27" s="1207">
        <f>'表1-1'!L48</f>
        <v>7796</v>
      </c>
      <c r="Q27" s="195"/>
      <c r="R27" s="1207">
        <v>229</v>
      </c>
      <c r="S27" s="195"/>
      <c r="T27" s="1212">
        <v>3296</v>
      </c>
      <c r="U27" s="195"/>
      <c r="V27" s="1207">
        <v>1807</v>
      </c>
      <c r="W27" s="195"/>
      <c r="X27" s="1207">
        <v>156</v>
      </c>
      <c r="Y27" s="220"/>
      <c r="Z27" s="1207">
        <f>'表1-1'!O48</f>
        <v>0</v>
      </c>
      <c r="AA27" s="135"/>
      <c r="AB27" s="1207">
        <v>0</v>
      </c>
      <c r="AC27" s="1170"/>
    </row>
    <row r="28" spans="1:29" s="11" customFormat="1" ht="19.5" customHeight="1" thickTop="1">
      <c r="A28" s="609"/>
      <c r="B28" s="505"/>
      <c r="C28" s="1810" t="s">
        <v>233</v>
      </c>
      <c r="D28" s="1811"/>
      <c r="E28" s="1812"/>
      <c r="F28" s="577" t="str">
        <f>F7</f>
        <v>元</v>
      </c>
      <c r="G28" s="1223">
        <f>'表1-1'!I51</f>
        <v>1247448</v>
      </c>
      <c r="H28" s="1224">
        <v>90716</v>
      </c>
      <c r="I28" s="1225"/>
      <c r="J28" s="1619">
        <v>144987</v>
      </c>
      <c r="K28" s="1225"/>
      <c r="L28" s="1226">
        <v>39949</v>
      </c>
      <c r="M28" s="1226"/>
      <c r="N28" s="1224">
        <v>20402</v>
      </c>
      <c r="O28" s="1225"/>
      <c r="P28" s="1224">
        <f>'表1-1'!L51</f>
        <v>1247448</v>
      </c>
      <c r="Q28" s="1226"/>
      <c r="R28" s="1224">
        <v>90716</v>
      </c>
      <c r="S28" s="1226"/>
      <c r="T28" s="1619">
        <v>144987</v>
      </c>
      <c r="U28" s="1226"/>
      <c r="V28" s="1224">
        <v>39949</v>
      </c>
      <c r="W28" s="1226"/>
      <c r="X28" s="1224">
        <v>20402</v>
      </c>
      <c r="Y28" s="1225"/>
      <c r="Z28" s="1227" t="s">
        <v>9</v>
      </c>
      <c r="AA28" s="1228"/>
      <c r="AB28" s="1227" t="s">
        <v>9</v>
      </c>
      <c r="AC28" s="1172"/>
    </row>
    <row r="29" spans="1:29" s="11" customFormat="1" ht="19.5" customHeight="1">
      <c r="A29" s="609"/>
      <c r="B29" s="505"/>
      <c r="C29" s="1789"/>
      <c r="D29" s="1790"/>
      <c r="E29" s="1791"/>
      <c r="F29" s="577">
        <f>F8</f>
        <v>2</v>
      </c>
      <c r="G29" s="1209">
        <f>'表1-1'!I52</f>
        <v>1241949</v>
      </c>
      <c r="H29" s="1207">
        <v>89719</v>
      </c>
      <c r="I29" s="220"/>
      <c r="J29" s="1212">
        <v>145656</v>
      </c>
      <c r="K29" s="220"/>
      <c r="L29" s="195">
        <v>42409</v>
      </c>
      <c r="M29" s="195"/>
      <c r="N29" s="1207">
        <v>22867</v>
      </c>
      <c r="O29" s="220"/>
      <c r="P29" s="1207">
        <f>'表1-1'!L52</f>
        <v>1241949</v>
      </c>
      <c r="Q29" s="195"/>
      <c r="R29" s="1207">
        <v>89719</v>
      </c>
      <c r="S29" s="195"/>
      <c r="T29" s="1212">
        <v>145656</v>
      </c>
      <c r="U29" s="195"/>
      <c r="V29" s="1207">
        <v>42409</v>
      </c>
      <c r="W29" s="195"/>
      <c r="X29" s="1207">
        <v>22867</v>
      </c>
      <c r="Y29" s="220"/>
      <c r="Z29" s="1042" t="s">
        <v>9</v>
      </c>
      <c r="AA29" s="1229"/>
      <c r="AB29" s="1042" t="s">
        <v>9</v>
      </c>
      <c r="AC29" s="1173"/>
    </row>
    <row r="30" spans="1:29" s="11" customFormat="1" ht="19.5" customHeight="1">
      <c r="A30" s="609"/>
      <c r="B30" s="505"/>
      <c r="C30" s="1789"/>
      <c r="D30" s="1790"/>
      <c r="E30" s="1791"/>
      <c r="F30" s="612">
        <f>F9</f>
        <v>3</v>
      </c>
      <c r="G30" s="1210">
        <f>'表1-1'!I53</f>
        <v>1232467</v>
      </c>
      <c r="H30" s="200">
        <v>88452</v>
      </c>
      <c r="I30" s="202"/>
      <c r="J30" s="1213">
        <v>141830</v>
      </c>
      <c r="K30" s="202"/>
      <c r="L30" s="201">
        <v>41455</v>
      </c>
      <c r="M30" s="201"/>
      <c r="N30" s="200">
        <v>23792</v>
      </c>
      <c r="O30" s="202"/>
      <c r="P30" s="200">
        <f>'表1-1'!L53</f>
        <v>1232467</v>
      </c>
      <c r="Q30" s="201"/>
      <c r="R30" s="200">
        <v>88452</v>
      </c>
      <c r="S30" s="201"/>
      <c r="T30" s="1213">
        <v>141830</v>
      </c>
      <c r="U30" s="201"/>
      <c r="V30" s="200">
        <v>41455</v>
      </c>
      <c r="W30" s="201"/>
      <c r="X30" s="200">
        <v>23792</v>
      </c>
      <c r="Y30" s="202"/>
      <c r="Z30" s="181" t="s">
        <v>9</v>
      </c>
      <c r="AA30" s="1230"/>
      <c r="AB30" s="181" t="s">
        <v>9</v>
      </c>
      <c r="AC30" s="1174"/>
    </row>
    <row r="31" spans="1:29" s="11" customFormat="1" ht="21" hidden="1" customHeight="1">
      <c r="A31" s="609"/>
      <c r="B31" s="505"/>
      <c r="C31" s="579"/>
      <c r="D31" s="1543"/>
      <c r="E31" s="1399"/>
      <c r="F31" s="1533"/>
      <c r="G31" s="1534" t="s">
        <v>1050</v>
      </c>
      <c r="H31" s="306" t="s">
        <v>1083</v>
      </c>
      <c r="I31" s="1539"/>
      <c r="J31" s="1620" t="s">
        <v>1095</v>
      </c>
      <c r="K31" s="1539"/>
      <c r="L31" s="1621" t="s">
        <v>1085</v>
      </c>
      <c r="M31" s="1540"/>
      <c r="N31" s="306" t="s">
        <v>1086</v>
      </c>
      <c r="O31" s="1539"/>
      <c r="P31" s="306" t="s">
        <v>1050</v>
      </c>
      <c r="Q31" s="1540"/>
      <c r="R31" s="306" t="s">
        <v>1083</v>
      </c>
      <c r="S31" s="1540"/>
      <c r="T31" s="306" t="s">
        <v>1084</v>
      </c>
      <c r="U31" s="1540"/>
      <c r="V31" s="306" t="s">
        <v>1085</v>
      </c>
      <c r="W31" s="1540"/>
      <c r="X31" s="306" t="s">
        <v>1086</v>
      </c>
      <c r="Y31" s="1539"/>
      <c r="Z31" s="181" t="s">
        <v>9</v>
      </c>
      <c r="AA31" s="1541"/>
      <c r="AB31" s="181" t="s">
        <v>9</v>
      </c>
      <c r="AC31" s="1257"/>
    </row>
    <row r="32" spans="1:29" s="11" customFormat="1" ht="19.5" customHeight="1">
      <c r="A32" s="609"/>
      <c r="B32" s="505"/>
      <c r="C32" s="506"/>
      <c r="D32" s="511"/>
      <c r="E32" s="1745" t="s">
        <v>234</v>
      </c>
      <c r="F32" s="610" t="str">
        <f>F7</f>
        <v>元</v>
      </c>
      <c r="G32" s="1208">
        <f>'表1-1'!I57</f>
        <v>393173</v>
      </c>
      <c r="H32" s="1214">
        <v>28224</v>
      </c>
      <c r="I32" s="1065"/>
      <c r="J32" s="1211">
        <v>42878</v>
      </c>
      <c r="K32" s="1066"/>
      <c r="L32" s="1067">
        <v>11644</v>
      </c>
      <c r="M32" s="1067"/>
      <c r="N32" s="1214">
        <v>8783</v>
      </c>
      <c r="O32" s="1066"/>
      <c r="P32" s="1214">
        <f>G32</f>
        <v>393173</v>
      </c>
      <c r="Q32" s="1067"/>
      <c r="R32" s="1214">
        <f>H32</f>
        <v>28224</v>
      </c>
      <c r="S32" s="1067"/>
      <c r="T32" s="1211">
        <f>J32</f>
        <v>42878</v>
      </c>
      <c r="U32" s="1067"/>
      <c r="V32" s="1214">
        <f>L32</f>
        <v>11644</v>
      </c>
      <c r="W32" s="1067"/>
      <c r="X32" s="1214">
        <f>N32</f>
        <v>8783</v>
      </c>
      <c r="Y32" s="1066"/>
      <c r="Z32" s="1064" t="s">
        <v>9</v>
      </c>
      <c r="AA32" s="1231"/>
      <c r="AB32" s="1064" t="s">
        <v>9</v>
      </c>
      <c r="AC32" s="1175"/>
    </row>
    <row r="33" spans="1:29" s="11" customFormat="1" ht="19.5" customHeight="1">
      <c r="A33" s="609"/>
      <c r="B33" s="505"/>
      <c r="C33" s="506"/>
      <c r="D33" s="512"/>
      <c r="E33" s="1747"/>
      <c r="F33" s="577">
        <f>F8</f>
        <v>2</v>
      </c>
      <c r="G33" s="1209">
        <f>'表1-1'!I58</f>
        <v>386546</v>
      </c>
      <c r="H33" s="1207">
        <v>27249</v>
      </c>
      <c r="I33" s="136"/>
      <c r="J33" s="1212">
        <v>41732</v>
      </c>
      <c r="K33" s="220"/>
      <c r="L33" s="195">
        <v>11722</v>
      </c>
      <c r="M33" s="195"/>
      <c r="N33" s="1207">
        <v>9232</v>
      </c>
      <c r="O33" s="220"/>
      <c r="P33" s="1207">
        <f>G33</f>
        <v>386546</v>
      </c>
      <c r="Q33" s="195"/>
      <c r="R33" s="1207">
        <f>H33</f>
        <v>27249</v>
      </c>
      <c r="S33" s="195"/>
      <c r="T33" s="1212">
        <f>J33</f>
        <v>41732</v>
      </c>
      <c r="U33" s="195"/>
      <c r="V33" s="1207">
        <f>L33</f>
        <v>11722</v>
      </c>
      <c r="W33" s="195"/>
      <c r="X33" s="1207">
        <f>N33</f>
        <v>9232</v>
      </c>
      <c r="Y33" s="220"/>
      <c r="Z33" s="1042" t="s">
        <v>9</v>
      </c>
      <c r="AA33" s="1229"/>
      <c r="AB33" s="1042" t="s">
        <v>9</v>
      </c>
      <c r="AC33" s="1173"/>
    </row>
    <row r="34" spans="1:29" s="11" customFormat="1" ht="19.5" customHeight="1">
      <c r="A34" s="609"/>
      <c r="B34" s="505"/>
      <c r="C34" s="513"/>
      <c r="D34" s="514"/>
      <c r="E34" s="1792"/>
      <c r="F34" s="502">
        <f>F9</f>
        <v>3</v>
      </c>
      <c r="G34" s="1210">
        <f>'表1-1'!I59</f>
        <v>380833</v>
      </c>
      <c r="H34" s="200">
        <v>26236</v>
      </c>
      <c r="I34" s="1048"/>
      <c r="J34" s="1213">
        <v>39805</v>
      </c>
      <c r="K34" s="202"/>
      <c r="L34" s="201">
        <v>11076</v>
      </c>
      <c r="M34" s="201"/>
      <c r="N34" s="200">
        <v>9051</v>
      </c>
      <c r="O34" s="202"/>
      <c r="P34" s="200">
        <f>G34</f>
        <v>380833</v>
      </c>
      <c r="Q34" s="201"/>
      <c r="R34" s="200">
        <f>H34</f>
        <v>26236</v>
      </c>
      <c r="S34" s="201"/>
      <c r="T34" s="1213">
        <f>J34</f>
        <v>39805</v>
      </c>
      <c r="U34" s="201"/>
      <c r="V34" s="200">
        <f>L34</f>
        <v>11076</v>
      </c>
      <c r="W34" s="201"/>
      <c r="X34" s="200">
        <f>N34</f>
        <v>9051</v>
      </c>
      <c r="Y34" s="202"/>
      <c r="Z34" s="181" t="s">
        <v>9</v>
      </c>
      <c r="AA34" s="1230"/>
      <c r="AB34" s="181" t="s">
        <v>9</v>
      </c>
      <c r="AC34" s="1174"/>
    </row>
    <row r="35" spans="1:29">
      <c r="C35" s="45"/>
      <c r="G35" s="160"/>
      <c r="H35" s="160"/>
      <c r="I35" s="665"/>
      <c r="J35" s="160"/>
      <c r="K35" s="665"/>
      <c r="L35" s="160"/>
      <c r="M35" s="665"/>
      <c r="N35" s="160"/>
      <c r="O35" s="665"/>
      <c r="P35" s="665"/>
      <c r="Q35" s="1232"/>
      <c r="R35" s="665"/>
      <c r="S35" s="1232"/>
      <c r="T35" s="665"/>
      <c r="U35" s="1232"/>
      <c r="V35" s="665"/>
      <c r="W35" s="1232"/>
      <c r="X35" s="665"/>
      <c r="Y35" s="1232"/>
      <c r="Z35" s="665"/>
      <c r="AA35" s="1232"/>
      <c r="AB35" s="665"/>
    </row>
    <row r="36" spans="1:29" ht="12" customHeight="1">
      <c r="B36" s="515"/>
      <c r="C36" s="515"/>
      <c r="D36" s="771"/>
      <c r="G36" s="8"/>
      <c r="H36" s="8"/>
      <c r="J36" s="8"/>
      <c r="L36" s="8"/>
      <c r="N36" s="8"/>
    </row>
    <row r="37" spans="1:29" ht="12" customHeight="1">
      <c r="C37" s="515"/>
    </row>
    <row r="38" spans="1:29">
      <c r="C38" s="45"/>
    </row>
    <row r="39" spans="1:29">
      <c r="C39" s="45"/>
    </row>
    <row r="40" spans="1:29">
      <c r="C40" s="45"/>
    </row>
    <row r="41" spans="1:29">
      <c r="C41" s="45"/>
    </row>
    <row r="42" spans="1:29">
      <c r="C42" s="45"/>
    </row>
    <row r="43" spans="1:29">
      <c r="C43" s="45"/>
    </row>
    <row r="44" spans="1:29">
      <c r="C44" s="45"/>
    </row>
    <row r="45" spans="1:29">
      <c r="C45" s="45"/>
    </row>
    <row r="46" spans="1:29">
      <c r="C46" s="45"/>
    </row>
    <row r="47" spans="1:29">
      <c r="C47" s="45"/>
    </row>
    <row r="48" spans="1:29">
      <c r="C48" s="45"/>
    </row>
    <row r="49" spans="3:3">
      <c r="C49" s="45"/>
    </row>
    <row r="50" spans="3:3">
      <c r="C50" s="45"/>
    </row>
    <row r="51" spans="3:3">
      <c r="C51" s="45"/>
    </row>
    <row r="52" spans="3:3">
      <c r="C52" s="45"/>
    </row>
    <row r="53" spans="3:3">
      <c r="C53" s="45"/>
    </row>
    <row r="54" spans="3:3">
      <c r="C54" s="45"/>
    </row>
    <row r="55" spans="3:3">
      <c r="C55" s="45"/>
    </row>
    <row r="56" spans="3:3">
      <c r="C56" s="45"/>
    </row>
    <row r="57" spans="3:3">
      <c r="C57" s="45"/>
    </row>
    <row r="58" spans="3:3">
      <c r="C58" s="45"/>
    </row>
    <row r="59" spans="3:3">
      <c r="C59" s="45"/>
    </row>
    <row r="60" spans="3:3">
      <c r="C60" s="45"/>
    </row>
    <row r="61" spans="3:3">
      <c r="C61" s="45"/>
    </row>
    <row r="62" spans="3:3">
      <c r="C62" s="45"/>
    </row>
    <row r="63" spans="3:3">
      <c r="C63" s="45"/>
    </row>
    <row r="64" spans="3:3">
      <c r="C64" s="45"/>
    </row>
    <row r="65" spans="3:3">
      <c r="C65" s="45"/>
    </row>
    <row r="66" spans="3:3">
      <c r="C66" s="45"/>
    </row>
    <row r="67" spans="3:3">
      <c r="C67" s="45"/>
    </row>
    <row r="68" spans="3:3">
      <c r="C68" s="45"/>
    </row>
    <row r="69" spans="3:3">
      <c r="C69" s="45"/>
    </row>
    <row r="70" spans="3:3">
      <c r="C70" s="45"/>
    </row>
    <row r="71" spans="3:3">
      <c r="C71" s="45"/>
    </row>
    <row r="72" spans="3:3">
      <c r="C72" s="45"/>
    </row>
    <row r="73" spans="3:3">
      <c r="C73" s="45"/>
    </row>
    <row r="74" spans="3:3">
      <c r="C74" s="45"/>
    </row>
    <row r="75" spans="3:3">
      <c r="C75" s="45"/>
    </row>
    <row r="76" spans="3:3">
      <c r="C76" s="45"/>
    </row>
    <row r="77" spans="3:3">
      <c r="C77" s="45"/>
    </row>
    <row r="78" spans="3:3">
      <c r="C78" s="45"/>
    </row>
    <row r="79" spans="3:3">
      <c r="C79" s="45"/>
    </row>
    <row r="80" spans="3:3">
      <c r="C80" s="45"/>
    </row>
    <row r="81" spans="3:3">
      <c r="C81" s="45"/>
    </row>
    <row r="82" spans="3:3">
      <c r="C82" s="45"/>
    </row>
    <row r="83" spans="3:3">
      <c r="C83" s="45"/>
    </row>
    <row r="84" spans="3:3">
      <c r="C84" s="45"/>
    </row>
    <row r="85" spans="3:3">
      <c r="C85" s="45"/>
    </row>
    <row r="86" spans="3:3">
      <c r="C86" s="45"/>
    </row>
    <row r="87" spans="3:3">
      <c r="C87" s="45"/>
    </row>
    <row r="88" spans="3:3">
      <c r="C88" s="45"/>
    </row>
    <row r="89" spans="3:3">
      <c r="C89" s="45"/>
    </row>
    <row r="90" spans="3:3">
      <c r="C90" s="45"/>
    </row>
    <row r="91" spans="3:3">
      <c r="C91" s="45"/>
    </row>
    <row r="92" spans="3:3">
      <c r="C92" s="45"/>
    </row>
    <row r="93" spans="3:3">
      <c r="C93" s="45"/>
    </row>
    <row r="94" spans="3:3">
      <c r="C94" s="45"/>
    </row>
    <row r="95" spans="3:3">
      <c r="C95" s="45"/>
    </row>
    <row r="96" spans="3:3">
      <c r="C96" s="45"/>
    </row>
    <row r="97" spans="3:3">
      <c r="C97" s="45"/>
    </row>
  </sheetData>
  <mergeCells count="23">
    <mergeCell ref="E32:E34"/>
    <mergeCell ref="C13:E15"/>
    <mergeCell ref="D16:E18"/>
    <mergeCell ref="D19:E21"/>
    <mergeCell ref="E22:E24"/>
    <mergeCell ref="E25:E27"/>
    <mergeCell ref="C28:E30"/>
    <mergeCell ref="D10:E12"/>
    <mergeCell ref="C3:E5"/>
    <mergeCell ref="G3:O3"/>
    <mergeCell ref="Z3:AC3"/>
    <mergeCell ref="P3:Y3"/>
    <mergeCell ref="H4:I5"/>
    <mergeCell ref="J4:K5"/>
    <mergeCell ref="Z4:AA5"/>
    <mergeCell ref="AB4:AC5"/>
    <mergeCell ref="R4:S5"/>
    <mergeCell ref="T4:U5"/>
    <mergeCell ref="L5:M5"/>
    <mergeCell ref="N5:O5"/>
    <mergeCell ref="V5:W5"/>
    <mergeCell ref="X5:Y5"/>
    <mergeCell ref="C7:E9"/>
  </mergeCells>
  <phoneticPr fontId="27"/>
  <printOptions gridLinesSet="0"/>
  <pageMargins left="0.98425196850393704" right="0.98425196850393704" top="0.78740157480314965" bottom="0.59055118110236227" header="0" footer="0.39370078740157483"/>
  <pageSetup paperSize="9" scale="73" firstPageNumber="4" orientation="landscape" r:id="rId1"/>
  <headerFooter alignWithMargins="0"/>
  <colBreaks count="1" manualBreakCount="1">
    <brk id="25" max="3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78"/>
  <sheetViews>
    <sheetView showGridLines="0" view="pageBreakPreview" zoomScaleNormal="100" zoomScaleSheetLayoutView="100" workbookViewId="0"/>
  </sheetViews>
  <sheetFormatPr defaultColWidth="9" defaultRowHeight="13.2"/>
  <cols>
    <col min="1" max="2" width="4.44140625" style="64" customWidth="1" collapsed="1"/>
    <col min="3" max="3" width="5.6640625" style="3" customWidth="1" collapsed="1"/>
    <col min="4" max="4" width="10.77734375" style="3" customWidth="1" collapsed="1"/>
    <col min="5" max="5" width="8.77734375" style="3" customWidth="1" collapsed="1"/>
    <col min="6" max="6" width="14.77734375" style="3" customWidth="1" collapsed="1"/>
    <col min="7" max="7" width="8.77734375" style="3" customWidth="1" collapsed="1"/>
    <col min="8" max="8" width="10.77734375" style="3" customWidth="1" collapsed="1"/>
    <col min="9" max="9" width="8.77734375" style="3" customWidth="1" collapsed="1"/>
    <col min="10" max="10" width="1.33203125" style="3" customWidth="1" collapsed="1"/>
    <col min="11" max="11" width="9" style="3" collapsed="1"/>
    <col min="12" max="15" width="14.77734375" style="3" hidden="1" customWidth="1" collapsed="1"/>
    <col min="16" max="16384" width="9" style="3" collapsed="1"/>
  </cols>
  <sheetData>
    <row r="1" spans="1:15" s="1" customFormat="1" ht="17.25" customHeight="1">
      <c r="A1" s="22" t="s">
        <v>195</v>
      </c>
      <c r="B1" s="22"/>
      <c r="C1" s="47"/>
      <c r="D1" s="2"/>
      <c r="E1" s="2"/>
    </row>
    <row r="2" spans="1:15" s="1" customFormat="1" ht="18" customHeight="1">
      <c r="A2" s="22"/>
      <c r="B2" s="22" t="str">
        <f>DBCS(情報!$D$2&amp;"の高額療養費の状況は表１３、表１４のとおりである。")</f>
        <v>令和３年度の高額療養費の状況は表１３、表１４のとおりである。</v>
      </c>
      <c r="C2" s="22"/>
      <c r="D2" s="2"/>
      <c r="E2" s="2"/>
      <c r="F2" s="4"/>
      <c r="G2" s="4"/>
      <c r="H2" s="4"/>
      <c r="I2" s="4"/>
      <c r="J2" s="4"/>
      <c r="K2" s="4"/>
    </row>
    <row r="3" spans="1:15" s="1" customFormat="1" ht="9.15" customHeight="1">
      <c r="C3" s="58"/>
      <c r="D3" s="2"/>
      <c r="E3" s="2"/>
    </row>
    <row r="4" spans="1:15" ht="24" customHeight="1">
      <c r="A4" s="62"/>
      <c r="B4" s="62"/>
      <c r="C4" s="22" t="s">
        <v>573</v>
      </c>
    </row>
    <row r="5" spans="1:15" s="43" customFormat="1" ht="9.15" customHeight="1">
      <c r="A5" s="1176"/>
      <c r="B5" s="1176"/>
    </row>
    <row r="6" spans="1:15" s="8" customFormat="1" ht="27.15" customHeight="1">
      <c r="A6" s="1744" t="s">
        <v>593</v>
      </c>
      <c r="B6" s="2032"/>
      <c r="C6" s="2029" t="s">
        <v>592</v>
      </c>
      <c r="D6" s="2034" t="s">
        <v>865</v>
      </c>
      <c r="E6" s="2035"/>
      <c r="F6" s="2035" t="s">
        <v>868</v>
      </c>
      <c r="G6" s="2035"/>
      <c r="H6" s="2035" t="s">
        <v>869</v>
      </c>
      <c r="I6" s="2038"/>
      <c r="L6" s="2036" t="s">
        <v>934</v>
      </c>
      <c r="M6" s="2036"/>
      <c r="N6" s="2036" t="s">
        <v>415</v>
      </c>
      <c r="O6" s="2036"/>
    </row>
    <row r="7" spans="1:15" s="8" customFormat="1" ht="12" customHeight="1">
      <c r="A7" s="1802"/>
      <c r="B7" s="2017"/>
      <c r="C7" s="2030"/>
      <c r="D7" s="1131"/>
      <c r="E7" s="871"/>
      <c r="F7" s="1132"/>
      <c r="G7" s="871"/>
      <c r="H7" s="1132"/>
      <c r="I7" s="1177"/>
      <c r="L7" s="1606" t="s">
        <v>866</v>
      </c>
      <c r="M7" s="1606" t="s">
        <v>867</v>
      </c>
      <c r="N7" s="1606" t="s">
        <v>866</v>
      </c>
      <c r="O7" s="1606" t="s">
        <v>867</v>
      </c>
    </row>
    <row r="8" spans="1:15" s="8" customFormat="1" ht="27.15" customHeight="1">
      <c r="A8" s="1804"/>
      <c r="B8" s="2033"/>
      <c r="C8" s="2031"/>
      <c r="D8" s="1142"/>
      <c r="E8" s="1143" t="s">
        <v>179</v>
      </c>
      <c r="F8" s="1144"/>
      <c r="G8" s="1143" t="s">
        <v>179</v>
      </c>
      <c r="H8" s="1144"/>
      <c r="I8" s="1178" t="s">
        <v>179</v>
      </c>
      <c r="L8" s="1611" t="s">
        <v>938</v>
      </c>
      <c r="M8" s="1611" t="s">
        <v>937</v>
      </c>
      <c r="N8" s="1611" t="s">
        <v>936</v>
      </c>
      <c r="O8" s="1611" t="s">
        <v>935</v>
      </c>
    </row>
    <row r="9" spans="1:15" s="51" customFormat="1" ht="14.1" customHeight="1">
      <c r="A9" s="2024" t="s">
        <v>181</v>
      </c>
      <c r="B9" s="2025"/>
      <c r="C9" s="1140"/>
      <c r="D9" s="1141" t="s">
        <v>180</v>
      </c>
      <c r="E9" s="50" t="s">
        <v>4</v>
      </c>
      <c r="F9" s="49" t="s">
        <v>154</v>
      </c>
      <c r="G9" s="50" t="s">
        <v>4</v>
      </c>
      <c r="H9" s="49" t="s">
        <v>176</v>
      </c>
      <c r="I9" s="1179" t="s">
        <v>4</v>
      </c>
      <c r="L9" s="1437"/>
      <c r="M9" s="1437"/>
      <c r="N9" s="1437"/>
      <c r="O9" s="1437"/>
    </row>
    <row r="10" spans="1:15" s="1414" customFormat="1" ht="18" hidden="1" customHeight="1">
      <c r="A10" s="1993"/>
      <c r="B10" s="2026"/>
      <c r="C10" s="1410">
        <f>情報!$B$5</f>
        <v>30</v>
      </c>
      <c r="D10" s="1411">
        <f>L10+M10</f>
        <v>1893986</v>
      </c>
      <c r="E10" s="1412" t="s">
        <v>433</v>
      </c>
      <c r="F10" s="1413">
        <f t="shared" ref="F10:F25" si="0">(N10+O10)/1000</f>
        <v>114424090.91599999</v>
      </c>
      <c r="G10" s="1412" t="s">
        <v>433</v>
      </c>
      <c r="H10" s="1413">
        <f>IF(ISERR(F10/D10),"－",F10/D10*1000)</f>
        <v>60414.433325272723</v>
      </c>
      <c r="I10" s="1412" t="s">
        <v>433</v>
      </c>
      <c r="L10" s="1646">
        <v>1887572</v>
      </c>
      <c r="M10" s="1646">
        <v>6414</v>
      </c>
      <c r="N10" s="1646">
        <v>113841888641</v>
      </c>
      <c r="O10" s="1646">
        <v>582202275</v>
      </c>
    </row>
    <row r="11" spans="1:15" s="8" customFormat="1" ht="18" customHeight="1">
      <c r="A11" s="1993"/>
      <c r="B11" s="2026"/>
      <c r="C11" s="972" t="str">
        <f>情報!$B$4</f>
        <v>元</v>
      </c>
      <c r="D11" s="1106">
        <f>L11+M11</f>
        <v>1918596</v>
      </c>
      <c r="E11" s="1429">
        <f>IF(ISERR(D11/D10),"－",ROUND(D11/D10*100,1))</f>
        <v>101.3</v>
      </c>
      <c r="F11" s="1108">
        <f t="shared" si="0"/>
        <v>115710056.29799999</v>
      </c>
      <c r="G11" s="1429">
        <f>IF(ISERR(F11/F10),"－",ROUND(F11/F10*100,1))</f>
        <v>101.1</v>
      </c>
      <c r="H11" s="1108">
        <f>IF(ISERR(F11/D11),"－",F11/D11*1000)</f>
        <v>60309.755830826289</v>
      </c>
      <c r="I11" s="1429">
        <f>IF(ISERR(H11/H10),"－",ROUND(H11/H10*100,1))</f>
        <v>99.8</v>
      </c>
      <c r="L11" s="1646">
        <v>1917175</v>
      </c>
      <c r="M11" s="1646">
        <v>1421</v>
      </c>
      <c r="N11" s="1646">
        <v>115601638867</v>
      </c>
      <c r="O11" s="1646">
        <v>108417431</v>
      </c>
    </row>
    <row r="12" spans="1:15" s="8" customFormat="1" ht="18" customHeight="1">
      <c r="A12" s="1993"/>
      <c r="B12" s="2026"/>
      <c r="C12" s="973">
        <f>情報!$B$3</f>
        <v>2</v>
      </c>
      <c r="D12" s="1108">
        <f t="shared" ref="D12:D25" si="1">L12+M12</f>
        <v>1954286</v>
      </c>
      <c r="E12" s="1107">
        <f t="shared" ref="E12:G13" si="2">IF(ISERR(D12/D11),"－",ROUND(D12/D11*100,1))</f>
        <v>101.9</v>
      </c>
      <c r="F12" s="1108">
        <f t="shared" si="0"/>
        <v>114500043.464</v>
      </c>
      <c r="G12" s="1107">
        <f t="shared" si="2"/>
        <v>99</v>
      </c>
      <c r="H12" s="1108">
        <f t="shared" ref="H12:H13" si="3">IF(ISERR(F12/D12),"－",F12/D12*1000)</f>
        <v>58589.194961228808</v>
      </c>
      <c r="I12" s="1107">
        <f t="shared" ref="I12" si="4">IF(ISERR(H12/H11),"－",ROUND(H12/H11*100,1))</f>
        <v>97.1</v>
      </c>
      <c r="L12" s="1646">
        <v>1954181</v>
      </c>
      <c r="M12" s="1646">
        <v>105</v>
      </c>
      <c r="N12" s="1646">
        <v>114494791444</v>
      </c>
      <c r="O12" s="1646">
        <v>5252020</v>
      </c>
    </row>
    <row r="13" spans="1:15" s="8" customFormat="1" ht="18" customHeight="1" thickBot="1">
      <c r="A13" s="2027"/>
      <c r="B13" s="2028"/>
      <c r="C13" s="1137">
        <f>情報!$B$2</f>
        <v>3</v>
      </c>
      <c r="D13" s="1138">
        <f t="shared" si="1"/>
        <v>2016821</v>
      </c>
      <c r="E13" s="1139">
        <f t="shared" si="2"/>
        <v>103.2</v>
      </c>
      <c r="F13" s="1138">
        <f t="shared" si="0"/>
        <v>121199107.833</v>
      </c>
      <c r="G13" s="1139">
        <f t="shared" si="2"/>
        <v>105.9</v>
      </c>
      <c r="H13" s="1138">
        <f t="shared" si="3"/>
        <v>60094.132217484846</v>
      </c>
      <c r="I13" s="1139">
        <f t="shared" ref="I13" si="5">IF(ISERR(H13/H12),"－",ROUND(H13/H12*100,1))</f>
        <v>102.6</v>
      </c>
      <c r="L13" s="1646">
        <v>2016830</v>
      </c>
      <c r="M13" s="1646">
        <v>-9</v>
      </c>
      <c r="N13" s="1646">
        <v>121199170500</v>
      </c>
      <c r="O13" s="1646">
        <v>-62667</v>
      </c>
    </row>
    <row r="14" spans="1:15" s="1414" customFormat="1" ht="18" hidden="1" customHeight="1" thickTop="1">
      <c r="A14" s="1415"/>
      <c r="B14" s="1416"/>
      <c r="C14" s="1417">
        <f>C10</f>
        <v>30</v>
      </c>
      <c r="D14" s="1413">
        <f t="shared" si="1"/>
        <v>1706126</v>
      </c>
      <c r="E14" s="1412" t="s">
        <v>433</v>
      </c>
      <c r="F14" s="1418">
        <f t="shared" si="0"/>
        <v>96942708.650000006</v>
      </c>
      <c r="G14" s="1412" t="s">
        <v>433</v>
      </c>
      <c r="H14" s="1426">
        <f>IF(ISERR(F14/D14),"－",F14/D14*1000)</f>
        <v>56820.368864902128</v>
      </c>
      <c r="I14" s="1434" t="s">
        <v>433</v>
      </c>
      <c r="L14" s="1646">
        <v>1699712</v>
      </c>
      <c r="M14" s="1646">
        <v>6414</v>
      </c>
      <c r="N14" s="1646">
        <v>96360506375</v>
      </c>
      <c r="O14" s="1646">
        <v>582202275</v>
      </c>
    </row>
    <row r="15" spans="1:15" s="8" customFormat="1" ht="18" customHeight="1" thickTop="1">
      <c r="A15" s="1993" t="s">
        <v>589</v>
      </c>
      <c r="B15" s="2022"/>
      <c r="C15" s="582" t="str">
        <f>C11</f>
        <v>元</v>
      </c>
      <c r="D15" s="1108">
        <f t="shared" si="1"/>
        <v>1732393</v>
      </c>
      <c r="E15" s="1429">
        <f>IF(ISERR(D15/D14),"－",ROUND(D15/D14*100,1))</f>
        <v>101.5</v>
      </c>
      <c r="F15" s="1109">
        <f t="shared" si="0"/>
        <v>98022519.216999993</v>
      </c>
      <c r="G15" s="1435">
        <f>IF(ISERR(F15/F14),"－",ROUND(F15/F14*100,1))</f>
        <v>101.1</v>
      </c>
      <c r="H15" s="1136">
        <f>IF(ISERR(F15/D15),"－",F15/D15*1000)</f>
        <v>56582.149210369702</v>
      </c>
      <c r="I15" s="1433">
        <f>IF(ISERR(H15/H14),"－",ROUND(H15/H14*100,1))</f>
        <v>99.6</v>
      </c>
      <c r="L15" s="1646">
        <v>1730972</v>
      </c>
      <c r="M15" s="1646">
        <v>1421</v>
      </c>
      <c r="N15" s="1646">
        <v>97914101786</v>
      </c>
      <c r="O15" s="1646">
        <v>108417431</v>
      </c>
    </row>
    <row r="16" spans="1:15" s="8" customFormat="1" ht="18" customHeight="1">
      <c r="A16" s="1993"/>
      <c r="B16" s="2022"/>
      <c r="C16" s="973">
        <f>C12</f>
        <v>2</v>
      </c>
      <c r="D16" s="1108">
        <f t="shared" si="1"/>
        <v>1769622</v>
      </c>
      <c r="E16" s="1107">
        <f t="shared" ref="E16" si="6">IF(ISERR(D16/D15),"－",ROUND(D16/D15*100,1))</f>
        <v>102.1</v>
      </c>
      <c r="F16" s="1109">
        <f t="shared" si="0"/>
        <v>96956961.133000001</v>
      </c>
      <c r="G16" s="1313">
        <f t="shared" ref="G16" si="7">IF(ISERR(F16/F15),"－",ROUND(F16/F15*100,1))</f>
        <v>98.9</v>
      </c>
      <c r="H16" s="1110">
        <f t="shared" ref="H16:H17" si="8">IF(ISERR(F16/D16),"－",F16/D16*1000)</f>
        <v>54789.644982374768</v>
      </c>
      <c r="I16" s="1107">
        <f t="shared" ref="I16:I17" si="9">IF(ISERR(H16/H15),"－",ROUND(H16/H15*100,1))</f>
        <v>96.8</v>
      </c>
      <c r="L16" s="1646">
        <v>1769517</v>
      </c>
      <c r="M16" s="1646">
        <v>105</v>
      </c>
      <c r="N16" s="1646">
        <v>96951709113</v>
      </c>
      <c r="O16" s="1646">
        <v>5252020</v>
      </c>
    </row>
    <row r="17" spans="1:15" s="8" customFormat="1" ht="18" customHeight="1">
      <c r="A17" s="1993"/>
      <c r="B17" s="2023"/>
      <c r="C17" s="973">
        <f>C13</f>
        <v>3</v>
      </c>
      <c r="D17" s="1430">
        <f t="shared" si="1"/>
        <v>1823065</v>
      </c>
      <c r="E17" s="1181">
        <f t="shared" ref="E17" si="10">IF(ISERR(D17/D16),"－",ROUND(D17/D16*100,1))</f>
        <v>103</v>
      </c>
      <c r="F17" s="1431">
        <f t="shared" si="0"/>
        <v>102499460.426</v>
      </c>
      <c r="G17" s="1436">
        <f t="shared" ref="G17" si="11">IF(ISERR(F17/F16),"－",ROUND(F17/F16*100,1))</f>
        <v>105.7</v>
      </c>
      <c r="H17" s="1110">
        <f t="shared" si="8"/>
        <v>56223.700430867793</v>
      </c>
      <c r="I17" s="1432">
        <f t="shared" si="9"/>
        <v>102.6</v>
      </c>
      <c r="L17" s="1646">
        <v>1823074</v>
      </c>
      <c r="M17" s="1646">
        <v>-9</v>
      </c>
      <c r="N17" s="1646">
        <v>102499523093</v>
      </c>
      <c r="O17" s="1646">
        <v>-62667</v>
      </c>
    </row>
    <row r="18" spans="1:15" s="1414" customFormat="1" ht="18" hidden="1" customHeight="1">
      <c r="A18" s="1419"/>
      <c r="B18" s="1420"/>
      <c r="C18" s="1421">
        <f>C10</f>
        <v>30</v>
      </c>
      <c r="D18" s="1413">
        <f t="shared" si="1"/>
        <v>1142091</v>
      </c>
      <c r="E18" s="1412" t="s">
        <v>433</v>
      </c>
      <c r="F18" s="1413">
        <f t="shared" si="0"/>
        <v>65371121.266000003</v>
      </c>
      <c r="G18" s="1412" t="s">
        <v>433</v>
      </c>
      <c r="H18" s="1413">
        <f>IF(ISERR(F18/D18),"－",F18/D18*1000)</f>
        <v>57238.102100445591</v>
      </c>
      <c r="I18" s="1412" t="s">
        <v>433</v>
      </c>
      <c r="J18" s="1422"/>
      <c r="L18" s="1646">
        <v>1137724</v>
      </c>
      <c r="M18" s="1646">
        <v>4367</v>
      </c>
      <c r="N18" s="1646">
        <v>64986020399</v>
      </c>
      <c r="O18" s="1646">
        <v>385100867</v>
      </c>
    </row>
    <row r="19" spans="1:15" s="8" customFormat="1" ht="18" customHeight="1">
      <c r="A19" s="1145"/>
      <c r="B19" s="2020" t="s">
        <v>590</v>
      </c>
      <c r="C19" s="973" t="str">
        <f>C11</f>
        <v>元</v>
      </c>
      <c r="D19" s="1108">
        <f t="shared" si="1"/>
        <v>1158676</v>
      </c>
      <c r="E19" s="1429">
        <f>IF(ISERR(D19/D18),"－",ROUND(D19/D18*100,1))</f>
        <v>101.5</v>
      </c>
      <c r="F19" s="1108">
        <f t="shared" si="0"/>
        <v>66010530.561999999</v>
      </c>
      <c r="G19" s="1429">
        <f>IF(ISERR(F19/F18),"－",ROUND(F19/F18*100,1))</f>
        <v>101</v>
      </c>
      <c r="H19" s="1108">
        <f>IF(ISERR(F19/D19),"－",F19/D19*1000)</f>
        <v>56970.654921651956</v>
      </c>
      <c r="I19" s="1429">
        <f>IF(ISERR(H19/H18),"－",ROUND(H19/H18*100,1))</f>
        <v>99.5</v>
      </c>
      <c r="J19" s="63"/>
      <c r="L19" s="1646">
        <v>1157550</v>
      </c>
      <c r="M19" s="1646">
        <v>1126</v>
      </c>
      <c r="N19" s="1646">
        <v>65922441509</v>
      </c>
      <c r="O19" s="1646">
        <v>88089053</v>
      </c>
    </row>
    <row r="20" spans="1:15" s="8" customFormat="1" ht="18" customHeight="1">
      <c r="A20" s="1145"/>
      <c r="B20" s="2020"/>
      <c r="C20" s="973">
        <f>C12</f>
        <v>2</v>
      </c>
      <c r="D20" s="1108">
        <f t="shared" si="1"/>
        <v>1197645</v>
      </c>
      <c r="E20" s="1107">
        <f t="shared" ref="E20:E21" si="12">IF(ISERR(D20/D19),"－",ROUND(D20/D19*100,1))</f>
        <v>103.4</v>
      </c>
      <c r="F20" s="1108">
        <f t="shared" si="0"/>
        <v>65273827.843999997</v>
      </c>
      <c r="G20" s="1107">
        <f t="shared" ref="G20:G21" si="13">IF(ISERR(F20/F19),"－",ROUND(F20/F19*100,1))</f>
        <v>98.9</v>
      </c>
      <c r="H20" s="1108">
        <f t="shared" ref="H20:H21" si="14">IF(ISERR(F20/D20),"－",F20/D20*1000)</f>
        <v>54501.816351256006</v>
      </c>
      <c r="I20" s="1107">
        <f t="shared" ref="I20:I21" si="15">IF(ISERR(H20/H19),"－",ROUND(H20/H19*100,1))</f>
        <v>95.7</v>
      </c>
      <c r="L20" s="1646">
        <v>1197548</v>
      </c>
      <c r="M20" s="1646">
        <v>97</v>
      </c>
      <c r="N20" s="1646">
        <v>65268693011</v>
      </c>
      <c r="O20" s="1646">
        <v>5134833</v>
      </c>
    </row>
    <row r="21" spans="1:15" s="8" customFormat="1" ht="18" customHeight="1">
      <c r="A21" s="1145"/>
      <c r="B21" s="2021"/>
      <c r="C21" s="973">
        <f>C13</f>
        <v>3</v>
      </c>
      <c r="D21" s="1108">
        <f t="shared" si="1"/>
        <v>1220161</v>
      </c>
      <c r="E21" s="1181">
        <f t="shared" si="12"/>
        <v>101.9</v>
      </c>
      <c r="F21" s="1108">
        <f t="shared" si="0"/>
        <v>69263884.298999995</v>
      </c>
      <c r="G21" s="1181">
        <f t="shared" si="13"/>
        <v>106.1</v>
      </c>
      <c r="H21" s="1108">
        <f t="shared" si="14"/>
        <v>56766.184379766273</v>
      </c>
      <c r="I21" s="1432">
        <f t="shared" si="15"/>
        <v>104.2</v>
      </c>
      <c r="L21" s="1646">
        <v>1220170</v>
      </c>
      <c r="M21" s="1646">
        <v>-9</v>
      </c>
      <c r="N21" s="1646">
        <v>69263936616</v>
      </c>
      <c r="O21" s="1646">
        <v>-52317</v>
      </c>
    </row>
    <row r="22" spans="1:15" s="1414" customFormat="1" ht="18" hidden="1" customHeight="1">
      <c r="A22" s="1419"/>
      <c r="B22" s="1423"/>
      <c r="C22" s="1421">
        <f>C10</f>
        <v>30</v>
      </c>
      <c r="D22" s="1413">
        <f t="shared" si="1"/>
        <v>564035</v>
      </c>
      <c r="E22" s="1412" t="s">
        <v>433</v>
      </c>
      <c r="F22" s="1413">
        <f t="shared" si="0"/>
        <v>31571587.384</v>
      </c>
      <c r="G22" s="1412" t="s">
        <v>433</v>
      </c>
      <c r="H22" s="1413">
        <f>IF(ISERR(F22/D22),"－",F22/D22*1000)</f>
        <v>55974.51821961403</v>
      </c>
      <c r="I22" s="1412" t="s">
        <v>433</v>
      </c>
      <c r="L22" s="1646">
        <v>561988</v>
      </c>
      <c r="M22" s="1646">
        <v>2047</v>
      </c>
      <c r="N22" s="1646">
        <v>31374485976</v>
      </c>
      <c r="O22" s="1646">
        <v>197101408</v>
      </c>
    </row>
    <row r="23" spans="1:15" s="8" customFormat="1" ht="18" customHeight="1">
      <c r="A23" s="1145"/>
      <c r="B23" s="2020" t="s">
        <v>591</v>
      </c>
      <c r="C23" s="973" t="str">
        <f>C11</f>
        <v>元</v>
      </c>
      <c r="D23" s="1108">
        <f t="shared" si="1"/>
        <v>573717</v>
      </c>
      <c r="E23" s="1429">
        <f>IF(ISERR(D23/D22),"－",ROUND(D23/D22*100,1))</f>
        <v>101.7</v>
      </c>
      <c r="F23" s="1108">
        <f t="shared" si="0"/>
        <v>32011988.655000001</v>
      </c>
      <c r="G23" s="1429">
        <f>IF(ISERR(F23/F22),"－",ROUND(F23/F22*100,1))</f>
        <v>101.4</v>
      </c>
      <c r="H23" s="1108">
        <f>IF(ISERR(F23/D23),"－",F23/D23*1000)</f>
        <v>55797.525007974313</v>
      </c>
      <c r="I23" s="1429">
        <f>IF(ISERR(H23/H22),"－",ROUND(H23/H22*100,1))</f>
        <v>99.7</v>
      </c>
      <c r="L23" s="1646">
        <v>573422</v>
      </c>
      <c r="M23" s="1646">
        <v>295</v>
      </c>
      <c r="N23" s="1646">
        <v>31991660277</v>
      </c>
      <c r="O23" s="1646">
        <v>20328378</v>
      </c>
    </row>
    <row r="24" spans="1:15" s="8" customFormat="1" ht="18" customHeight="1">
      <c r="A24" s="1145"/>
      <c r="B24" s="2020"/>
      <c r="C24" s="973">
        <f>C12</f>
        <v>2</v>
      </c>
      <c r="D24" s="1108">
        <f t="shared" si="1"/>
        <v>571977</v>
      </c>
      <c r="E24" s="1107">
        <f t="shared" ref="E24:E25" si="16">IF(ISERR(D24/D23),"－",ROUND(D24/D23*100,1))</f>
        <v>99.7</v>
      </c>
      <c r="F24" s="1108">
        <f t="shared" si="0"/>
        <v>31683133.289000001</v>
      </c>
      <c r="G24" s="1107">
        <f t="shared" ref="G24:G25" si="17">IF(ISERR(F24/F23),"－",ROUND(F24/F23*100,1))</f>
        <v>99</v>
      </c>
      <c r="H24" s="1108">
        <f t="shared" ref="H24:H25" si="18">IF(ISERR(F24/D24),"－",F24/D24*1000)</f>
        <v>55392.320476173001</v>
      </c>
      <c r="I24" s="1107">
        <f t="shared" ref="I24:I25" si="19">IF(ISERR(H24/H23),"－",ROUND(H24/H23*100,1))</f>
        <v>99.3</v>
      </c>
      <c r="L24" s="1646">
        <v>571969</v>
      </c>
      <c r="M24" s="1646">
        <v>8</v>
      </c>
      <c r="N24" s="1646">
        <v>31683016102</v>
      </c>
      <c r="O24" s="1646">
        <v>117187</v>
      </c>
    </row>
    <row r="25" spans="1:15" s="8" customFormat="1" ht="18" customHeight="1" thickBot="1">
      <c r="A25" s="1147"/>
      <c r="B25" s="2037"/>
      <c r="C25" s="1137">
        <f>C13</f>
        <v>3</v>
      </c>
      <c r="D25" s="1138">
        <f t="shared" si="1"/>
        <v>602904</v>
      </c>
      <c r="E25" s="1139">
        <f t="shared" si="16"/>
        <v>105.4</v>
      </c>
      <c r="F25" s="1138">
        <f t="shared" si="0"/>
        <v>33235576.127</v>
      </c>
      <c r="G25" s="1139">
        <f t="shared" si="17"/>
        <v>104.9</v>
      </c>
      <c r="H25" s="1138">
        <f t="shared" si="18"/>
        <v>55125.817919602465</v>
      </c>
      <c r="I25" s="1139">
        <f t="shared" si="19"/>
        <v>99.5</v>
      </c>
      <c r="L25" s="1646">
        <v>602904</v>
      </c>
      <c r="M25" s="1646">
        <v>0</v>
      </c>
      <c r="N25" s="1646">
        <v>33235586477</v>
      </c>
      <c r="O25" s="1646">
        <v>-10350</v>
      </c>
    </row>
    <row r="26" spans="1:15" s="1414" customFormat="1" ht="18" hidden="1" customHeight="1" thickTop="1">
      <c r="A26" s="1424"/>
      <c r="B26" s="1425"/>
      <c r="C26" s="1417">
        <f>C10</f>
        <v>30</v>
      </c>
      <c r="D26" s="1413">
        <f>L26</f>
        <v>187860</v>
      </c>
      <c r="E26" s="1412" t="s">
        <v>433</v>
      </c>
      <c r="F26" s="1413">
        <f>N26/1000</f>
        <v>17481382.265999999</v>
      </c>
      <c r="G26" s="1412" t="s">
        <v>433</v>
      </c>
      <c r="H26" s="1413">
        <f>IF(ISERR(F26/D26),"－",F26/D26*1000)</f>
        <v>93055.372436921098</v>
      </c>
      <c r="I26" s="1412" t="s">
        <v>433</v>
      </c>
      <c r="L26" s="1646">
        <v>187860</v>
      </c>
      <c r="M26" s="1567" t="s">
        <v>433</v>
      </c>
      <c r="N26" s="1646">
        <v>17481382266</v>
      </c>
      <c r="O26" s="1567" t="s">
        <v>433</v>
      </c>
    </row>
    <row r="27" spans="1:15" s="8" customFormat="1" ht="18" customHeight="1" thickTop="1">
      <c r="A27" s="1993" t="s">
        <v>155</v>
      </c>
      <c r="B27" s="2022"/>
      <c r="C27" s="582" t="str">
        <f>C11</f>
        <v>元</v>
      </c>
      <c r="D27" s="1108">
        <f t="shared" ref="D27:D29" si="20">L27</f>
        <v>186203</v>
      </c>
      <c r="E27" s="1429">
        <f>IF(ISERR(D27/D26),"－",ROUND(D27/D26*100,1))</f>
        <v>99.1</v>
      </c>
      <c r="F27" s="1108">
        <f>N27/1000</f>
        <v>17687537.081</v>
      </c>
      <c r="G27" s="1429">
        <f>IF(ISERR(F27/F26),"－",ROUND(F27/F26*100,1))</f>
        <v>101.2</v>
      </c>
      <c r="H27" s="1108">
        <f>IF(ISERR(F27/D27),"－",F27/D27*1000)</f>
        <v>94990.612831157399</v>
      </c>
      <c r="I27" s="1429">
        <f>IF(ISERR(H27/H26),"－",ROUND(H27/H26*100,1))</f>
        <v>102.1</v>
      </c>
      <c r="L27" s="1646">
        <v>186203</v>
      </c>
      <c r="M27" s="1567" t="s">
        <v>433</v>
      </c>
      <c r="N27" s="1646">
        <v>17687537081</v>
      </c>
      <c r="O27" s="1567" t="s">
        <v>433</v>
      </c>
    </row>
    <row r="28" spans="1:15" s="8" customFormat="1" ht="18" customHeight="1">
      <c r="A28" s="1993"/>
      <c r="B28" s="2022"/>
      <c r="C28" s="973">
        <f>C12</f>
        <v>2</v>
      </c>
      <c r="D28" s="1108">
        <f t="shared" si="20"/>
        <v>184664</v>
      </c>
      <c r="E28" s="1107">
        <f t="shared" ref="E28:E29" si="21">IF(ISERR(D28/D27),"－",ROUND(D28/D27*100,1))</f>
        <v>99.2</v>
      </c>
      <c r="F28" s="1108">
        <f>N28/1000</f>
        <v>17543082.331</v>
      </c>
      <c r="G28" s="1107">
        <f t="shared" ref="G28:G29" si="22">IF(ISERR(F28/F27),"－",ROUND(F28/F27*100,1))</f>
        <v>99.2</v>
      </c>
      <c r="H28" s="1108">
        <f t="shared" ref="H28:H29" si="23">IF(ISERR(F28/D28),"－",F28/D28*1000)</f>
        <v>95000.012622925962</v>
      </c>
      <c r="I28" s="1107">
        <f t="shared" ref="I28:I29" si="24">IF(ISERR(H28/H27),"－",ROUND(H28/H27*100,1))</f>
        <v>100</v>
      </c>
      <c r="L28" s="1646">
        <v>184664</v>
      </c>
      <c r="M28" s="1567" t="s">
        <v>433</v>
      </c>
      <c r="N28" s="1646">
        <v>17543082331</v>
      </c>
      <c r="O28" s="1567" t="s">
        <v>433</v>
      </c>
    </row>
    <row r="29" spans="1:15" s="8" customFormat="1" ht="18" customHeight="1">
      <c r="A29" s="1994"/>
      <c r="B29" s="2023"/>
      <c r="C29" s="973">
        <f>C13</f>
        <v>3</v>
      </c>
      <c r="D29" s="1180">
        <f t="shared" si="20"/>
        <v>193756</v>
      </c>
      <c r="E29" s="1181">
        <f t="shared" si="21"/>
        <v>104.9</v>
      </c>
      <c r="F29" s="1180">
        <f>N29/1000</f>
        <v>18699647.407000002</v>
      </c>
      <c r="G29" s="1181">
        <f t="shared" si="22"/>
        <v>106.6</v>
      </c>
      <c r="H29" s="1180">
        <f t="shared" si="23"/>
        <v>96511.320459753508</v>
      </c>
      <c r="I29" s="1181">
        <f t="shared" si="24"/>
        <v>101.6</v>
      </c>
      <c r="L29" s="1646">
        <v>193756</v>
      </c>
      <c r="M29" s="1567" t="s">
        <v>433</v>
      </c>
      <c r="N29" s="1646">
        <v>18699647407</v>
      </c>
      <c r="O29" s="1567" t="s">
        <v>433</v>
      </c>
    </row>
    <row r="30" spans="1:15" ht="9.15" customHeight="1"/>
    <row r="31" spans="1:15" ht="21.9" customHeight="1"/>
    <row r="32" spans="1:15" ht="21.9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</sheetData>
  <sheetProtection selectLockedCells="1" selectUnlockedCells="1"/>
  <mergeCells count="12">
    <mergeCell ref="L6:M6"/>
    <mergeCell ref="N6:O6"/>
    <mergeCell ref="A15:B17"/>
    <mergeCell ref="B19:B21"/>
    <mergeCell ref="B23:B25"/>
    <mergeCell ref="F6:G6"/>
    <mergeCell ref="H6:I6"/>
    <mergeCell ref="A27:B29"/>
    <mergeCell ref="A9:B13"/>
    <mergeCell ref="C6:C8"/>
    <mergeCell ref="A6:B8"/>
    <mergeCell ref="D6:E6"/>
  </mergeCells>
  <phoneticPr fontId="27"/>
  <pageMargins left="0.78740157480314965" right="0.59055118110236227" top="0.78740157480314965" bottom="0.59055118110236227" header="0.51181102362204722" footer="0.39370078740157483"/>
  <pageSetup paperSize="9" firstPageNumber="45" pageOrder="overThenDown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AH99"/>
  <sheetViews>
    <sheetView view="pageBreakPreview" zoomScaleNormal="100" zoomScaleSheetLayoutView="100" workbookViewId="0"/>
  </sheetViews>
  <sheetFormatPr defaultColWidth="9" defaultRowHeight="12"/>
  <cols>
    <col min="1" max="2" width="8" style="665" customWidth="1" collapsed="1"/>
    <col min="3" max="3" width="13.6640625" style="741" customWidth="1" collapsed="1"/>
    <col min="4" max="4" width="3.77734375" style="665" customWidth="1" collapsed="1"/>
    <col min="5" max="9" width="14.44140625" style="665" customWidth="1" collapsed="1"/>
    <col min="10" max="10" width="14.44140625" style="160" customWidth="1" collapsed="1"/>
    <col min="11" max="13" width="14.44140625" style="665" customWidth="1" collapsed="1"/>
    <col min="14" max="14" width="1.21875" style="665" customWidth="1" collapsed="1"/>
    <col min="15" max="15" width="9" style="665" collapsed="1"/>
    <col min="16" max="33" width="14.44140625" style="665" hidden="1" customWidth="1" collapsed="1"/>
    <col min="34" max="16384" width="9" style="665" collapsed="1"/>
  </cols>
  <sheetData>
    <row r="1" spans="1:34" s="618" customFormat="1" ht="24" customHeight="1">
      <c r="A1" s="618" t="s">
        <v>534</v>
      </c>
      <c r="C1" s="762"/>
      <c r="J1" s="633"/>
    </row>
    <row r="2" spans="1:34" s="618" customFormat="1" ht="18" customHeight="1">
      <c r="C2" s="762"/>
      <c r="J2" s="633"/>
      <c r="AH2" s="1377"/>
    </row>
    <row r="3" spans="1:34" s="854" customFormat="1" ht="21.75" customHeight="1">
      <c r="A3" s="2049" t="s">
        <v>527</v>
      </c>
      <c r="B3" s="2050"/>
      <c r="C3" s="2050"/>
      <c r="D3" s="2051"/>
      <c r="E3" s="1443"/>
      <c r="F3" s="1442"/>
      <c r="G3" s="852" t="s">
        <v>526</v>
      </c>
      <c r="H3" s="1442"/>
      <c r="I3" s="853"/>
      <c r="J3" s="1440" t="s">
        <v>525</v>
      </c>
      <c r="K3" s="1439"/>
      <c r="L3" s="1442"/>
      <c r="M3" s="1444"/>
      <c r="P3" s="1375"/>
      <c r="Q3" s="1438"/>
      <c r="R3" s="1439"/>
      <c r="S3" s="1442"/>
      <c r="T3" s="2041" t="s">
        <v>942</v>
      </c>
      <c r="U3" s="2045"/>
      <c r="V3" s="2045"/>
      <c r="W3" s="2042"/>
      <c r="X3" s="2041" t="s">
        <v>943</v>
      </c>
      <c r="Y3" s="2045"/>
      <c r="Z3" s="2045"/>
      <c r="AA3" s="2045"/>
      <c r="AB3" s="2045"/>
      <c r="AC3" s="2045"/>
      <c r="AD3" s="2045"/>
      <c r="AE3" s="2042"/>
      <c r="AF3" s="1443"/>
      <c r="AG3" s="1441"/>
      <c r="AH3" s="1377"/>
    </row>
    <row r="4" spans="1:34" s="854" customFormat="1" ht="21.75" customHeight="1">
      <c r="A4" s="2052"/>
      <c r="B4" s="2053"/>
      <c r="C4" s="2053"/>
      <c r="D4" s="2054"/>
      <c r="E4" s="781" t="s">
        <v>524</v>
      </c>
      <c r="F4" s="1376" t="s">
        <v>523</v>
      </c>
      <c r="G4" s="1444"/>
      <c r="H4" s="1444"/>
      <c r="I4" s="781"/>
      <c r="J4" s="781"/>
      <c r="K4" s="781"/>
      <c r="L4" s="781"/>
      <c r="M4" s="781" t="s">
        <v>522</v>
      </c>
      <c r="P4" s="2039" t="s">
        <v>524</v>
      </c>
      <c r="Q4" s="2040"/>
      <c r="R4" s="2041" t="s">
        <v>939</v>
      </c>
      <c r="S4" s="2042"/>
      <c r="T4" s="2041" t="s">
        <v>520</v>
      </c>
      <c r="U4" s="2042"/>
      <c r="V4" s="2041" t="s">
        <v>98</v>
      </c>
      <c r="W4" s="2042"/>
      <c r="X4" s="2041" t="s">
        <v>184</v>
      </c>
      <c r="Y4" s="2042"/>
      <c r="Z4" s="2041" t="s">
        <v>185</v>
      </c>
      <c r="AA4" s="2042"/>
      <c r="AB4" s="2041" t="s">
        <v>519</v>
      </c>
      <c r="AC4" s="2042"/>
      <c r="AD4" s="2041" t="s">
        <v>98</v>
      </c>
      <c r="AE4" s="2042"/>
      <c r="AF4" s="2039" t="s">
        <v>522</v>
      </c>
      <c r="AG4" s="2040"/>
      <c r="AH4" s="1377"/>
    </row>
    <row r="5" spans="1:34" s="854" customFormat="1" ht="21.75" customHeight="1">
      <c r="A5" s="2039"/>
      <c r="B5" s="2055"/>
      <c r="C5" s="2055"/>
      <c r="D5" s="2040"/>
      <c r="E5" s="1234"/>
      <c r="F5" s="1234" t="s">
        <v>521</v>
      </c>
      <c r="G5" s="1234" t="s">
        <v>520</v>
      </c>
      <c r="H5" s="1234" t="s">
        <v>98</v>
      </c>
      <c r="I5" s="1234" t="s">
        <v>184</v>
      </c>
      <c r="J5" s="1234" t="s">
        <v>185</v>
      </c>
      <c r="K5" s="1234" t="s">
        <v>519</v>
      </c>
      <c r="L5" s="1234" t="s">
        <v>98</v>
      </c>
      <c r="M5" s="1234"/>
      <c r="P5" s="781" t="s">
        <v>940</v>
      </c>
      <c r="Q5" s="781" t="s">
        <v>941</v>
      </c>
      <c r="R5" s="781" t="s">
        <v>940</v>
      </c>
      <c r="S5" s="781" t="s">
        <v>941</v>
      </c>
      <c r="T5" s="781" t="s">
        <v>940</v>
      </c>
      <c r="U5" s="781" t="s">
        <v>941</v>
      </c>
      <c r="V5" s="781" t="s">
        <v>940</v>
      </c>
      <c r="W5" s="781" t="s">
        <v>941</v>
      </c>
      <c r="X5" s="781" t="s">
        <v>940</v>
      </c>
      <c r="Y5" s="781" t="s">
        <v>941</v>
      </c>
      <c r="Z5" s="781" t="s">
        <v>940</v>
      </c>
      <c r="AA5" s="781" t="s">
        <v>941</v>
      </c>
      <c r="AB5" s="781" t="s">
        <v>940</v>
      </c>
      <c r="AC5" s="781" t="s">
        <v>941</v>
      </c>
      <c r="AD5" s="781" t="s">
        <v>940</v>
      </c>
      <c r="AE5" s="781" t="s">
        <v>941</v>
      </c>
      <c r="AF5" s="781" t="s">
        <v>940</v>
      </c>
      <c r="AG5" s="781" t="s">
        <v>941</v>
      </c>
    </row>
    <row r="6" spans="1:34" s="1452" customFormat="1" hidden="1">
      <c r="A6" s="1992" t="s">
        <v>594</v>
      </c>
      <c r="B6" s="2047"/>
      <c r="C6" s="1449"/>
      <c r="D6" s="1450"/>
      <c r="E6" s="1459"/>
      <c r="F6" s="1459"/>
      <c r="G6" s="1459"/>
      <c r="H6" s="1459"/>
      <c r="I6" s="1459"/>
      <c r="J6" s="1459"/>
      <c r="K6" s="1459"/>
      <c r="L6" s="1459"/>
      <c r="M6" s="1459"/>
      <c r="N6" s="1451"/>
      <c r="P6" s="1612" t="s">
        <v>938</v>
      </c>
      <c r="Q6" s="1612" t="s">
        <v>937</v>
      </c>
      <c r="R6" s="1612" t="s">
        <v>959</v>
      </c>
      <c r="S6" s="1612" t="s">
        <v>958</v>
      </c>
      <c r="T6" s="1612" t="s">
        <v>957</v>
      </c>
      <c r="U6" s="1612" t="s">
        <v>956</v>
      </c>
      <c r="V6" s="1612" t="s">
        <v>955</v>
      </c>
      <c r="W6" s="1612" t="s">
        <v>954</v>
      </c>
      <c r="X6" s="1612" t="s">
        <v>953</v>
      </c>
      <c r="Y6" s="1612" t="s">
        <v>952</v>
      </c>
      <c r="Z6" s="1612" t="s">
        <v>951</v>
      </c>
      <c r="AA6" s="1612" t="s">
        <v>950</v>
      </c>
      <c r="AB6" s="1612" t="s">
        <v>949</v>
      </c>
      <c r="AC6" s="1612" t="s">
        <v>948</v>
      </c>
      <c r="AD6" s="1612" t="s">
        <v>947</v>
      </c>
      <c r="AE6" s="1612" t="s">
        <v>946</v>
      </c>
      <c r="AF6" s="1612" t="s">
        <v>945</v>
      </c>
      <c r="AG6" s="1612" t="s">
        <v>944</v>
      </c>
    </row>
    <row r="7" spans="1:34" ht="22.5" customHeight="1">
      <c r="A7" s="1993"/>
      <c r="B7" s="2022"/>
      <c r="C7" s="1152" t="s">
        <v>187</v>
      </c>
      <c r="D7" s="1153" t="s">
        <v>180</v>
      </c>
      <c r="E7" s="1460">
        <f>P7+Q7</f>
        <v>2016821</v>
      </c>
      <c r="F7" s="1460">
        <f>R7+S7</f>
        <v>1071664</v>
      </c>
      <c r="G7" s="1460">
        <f>T7+U7</f>
        <v>146666</v>
      </c>
      <c r="H7" s="1460">
        <f>V7+W7</f>
        <v>695674</v>
      </c>
      <c r="I7" s="1460">
        <f>X7+Y7</f>
        <v>155970</v>
      </c>
      <c r="J7" s="1460">
        <f>Z7+AA7</f>
        <v>237856</v>
      </c>
      <c r="K7" s="1460">
        <f>AB7+AC7</f>
        <v>237343</v>
      </c>
      <c r="L7" s="1460">
        <f>AD7+AE7</f>
        <v>288747</v>
      </c>
      <c r="M7" s="1460">
        <f>AF7+AG7</f>
        <v>254565</v>
      </c>
      <c r="N7" s="743"/>
      <c r="P7" s="1570">
        <v>2016830</v>
      </c>
      <c r="Q7" s="1570">
        <v>-9</v>
      </c>
      <c r="R7" s="1570">
        <v>1071673</v>
      </c>
      <c r="S7" s="1570">
        <v>-9</v>
      </c>
      <c r="T7" s="1570">
        <v>146666</v>
      </c>
      <c r="U7" s="1570">
        <v>0</v>
      </c>
      <c r="V7" s="1570">
        <v>695673</v>
      </c>
      <c r="W7" s="1570">
        <v>1</v>
      </c>
      <c r="X7" s="1570">
        <v>155970</v>
      </c>
      <c r="Y7" s="1570">
        <v>0</v>
      </c>
      <c r="Z7" s="1570">
        <v>237855</v>
      </c>
      <c r="AA7" s="1570">
        <v>1</v>
      </c>
      <c r="AB7" s="1570">
        <v>237354</v>
      </c>
      <c r="AC7" s="1570">
        <v>-11</v>
      </c>
      <c r="AD7" s="1570">
        <v>288748</v>
      </c>
      <c r="AE7" s="1570">
        <v>-1</v>
      </c>
      <c r="AF7" s="1570">
        <v>254564</v>
      </c>
      <c r="AG7" s="1570">
        <v>1</v>
      </c>
    </row>
    <row r="8" spans="1:34" s="1452" customFormat="1" ht="22.5" hidden="1" customHeight="1">
      <c r="A8" s="1993"/>
      <c r="B8" s="2022"/>
      <c r="C8" s="1453"/>
      <c r="D8" s="1454"/>
      <c r="E8" s="1461"/>
      <c r="F8" s="1461"/>
      <c r="G8" s="1461"/>
      <c r="H8" s="1461"/>
      <c r="I8" s="1461"/>
      <c r="J8" s="1461"/>
      <c r="K8" s="1461"/>
      <c r="L8" s="1461"/>
      <c r="M8" s="1461"/>
      <c r="N8" s="1451"/>
      <c r="P8" s="1647" t="s">
        <v>936</v>
      </c>
      <c r="Q8" s="1647" t="s">
        <v>935</v>
      </c>
      <c r="R8" s="1647" t="s">
        <v>960</v>
      </c>
      <c r="S8" s="1647" t="s">
        <v>961</v>
      </c>
      <c r="T8" s="1647" t="s">
        <v>962</v>
      </c>
      <c r="U8" s="1647" t="s">
        <v>963</v>
      </c>
      <c r="V8" s="1647" t="s">
        <v>964</v>
      </c>
      <c r="W8" s="1647" t="s">
        <v>965</v>
      </c>
      <c r="X8" s="1647" t="s">
        <v>966</v>
      </c>
      <c r="Y8" s="1647" t="s">
        <v>967</v>
      </c>
      <c r="Z8" s="1647" t="s">
        <v>968</v>
      </c>
      <c r="AA8" s="1647" t="s">
        <v>969</v>
      </c>
      <c r="AB8" s="1647" t="s">
        <v>970</v>
      </c>
      <c r="AC8" s="1648" t="s">
        <v>1216</v>
      </c>
      <c r="AD8" s="1647" t="s">
        <v>971</v>
      </c>
      <c r="AE8" s="1647" t="s">
        <v>972</v>
      </c>
      <c r="AF8" s="1647" t="s">
        <v>973</v>
      </c>
      <c r="AG8" s="1647" t="s">
        <v>974</v>
      </c>
    </row>
    <row r="9" spans="1:34" ht="22.5" customHeight="1">
      <c r="A9" s="1993"/>
      <c r="B9" s="2022"/>
      <c r="C9" s="1152" t="s">
        <v>188</v>
      </c>
      <c r="D9" s="1153" t="s">
        <v>154</v>
      </c>
      <c r="E9" s="1460">
        <f>(P9+Q9)/1000</f>
        <v>121199107.833</v>
      </c>
      <c r="F9" s="1460">
        <f>(R9+S9)/1000</f>
        <v>105852845.54000001</v>
      </c>
      <c r="G9" s="1460">
        <f>(T9+U9)/1000</f>
        <v>3771257.679</v>
      </c>
      <c r="H9" s="1460">
        <f>(V9+W9)/1000</f>
        <v>7008765.4040000001</v>
      </c>
      <c r="I9" s="1460">
        <f>(X9+Y9)/1000</f>
        <v>15395249.756999999</v>
      </c>
      <c r="J9" s="1460">
        <f>(Z9+AA9)/1000</f>
        <v>17790358.510000002</v>
      </c>
      <c r="K9" s="1460">
        <f>(AB9+AC9)/1000</f>
        <v>33682861.340999998</v>
      </c>
      <c r="L9" s="1460">
        <f>(AD9+AE9)/1000</f>
        <v>10010020.947000001</v>
      </c>
      <c r="M9" s="1460">
        <f>(AF9+AG9)/1000</f>
        <v>33540594.195</v>
      </c>
      <c r="N9" s="743"/>
      <c r="P9" s="1570">
        <v>121199170500</v>
      </c>
      <c r="Q9" s="1570">
        <v>-62667</v>
      </c>
      <c r="R9" s="1570">
        <v>105852930913</v>
      </c>
      <c r="S9" s="1570">
        <v>-85373</v>
      </c>
      <c r="T9" s="1570">
        <v>3771257679</v>
      </c>
      <c r="U9" s="1570">
        <v>0</v>
      </c>
      <c r="V9" s="1570">
        <v>7008757925</v>
      </c>
      <c r="W9" s="1570">
        <v>7479</v>
      </c>
      <c r="X9" s="1570">
        <v>15395249757</v>
      </c>
      <c r="Y9" s="1570">
        <v>0</v>
      </c>
      <c r="Z9" s="1570">
        <v>17790340928</v>
      </c>
      <c r="AA9" s="1570">
        <v>17582</v>
      </c>
      <c r="AB9" s="1570">
        <v>33683048357</v>
      </c>
      <c r="AC9" s="1570">
        <v>-187016</v>
      </c>
      <c r="AD9" s="1570">
        <v>10010031125</v>
      </c>
      <c r="AE9" s="1570">
        <v>-10178</v>
      </c>
      <c r="AF9" s="1570">
        <v>33540484729</v>
      </c>
      <c r="AG9" s="1570">
        <v>109466</v>
      </c>
    </row>
    <row r="10" spans="1:34" ht="22.5" customHeight="1" thickBot="1">
      <c r="A10" s="2027"/>
      <c r="B10" s="2048"/>
      <c r="C10" s="1445" t="s">
        <v>189</v>
      </c>
      <c r="D10" s="1446" t="s">
        <v>176</v>
      </c>
      <c r="E10" s="1462">
        <f t="shared" ref="E10:M10" si="0">IF(ISERR(E9/E7),"－",E9/E7*1000)</f>
        <v>60094.132217484846</v>
      </c>
      <c r="F10" s="1462">
        <f t="shared" si="0"/>
        <v>98774.285167739145</v>
      </c>
      <c r="G10" s="1462">
        <f t="shared" si="0"/>
        <v>25713.237416988261</v>
      </c>
      <c r="H10" s="1462">
        <f t="shared" si="0"/>
        <v>10074.784171896606</v>
      </c>
      <c r="I10" s="1462">
        <f t="shared" si="0"/>
        <v>98706.480457780344</v>
      </c>
      <c r="J10" s="1462">
        <f t="shared" si="0"/>
        <v>74794.659415780989</v>
      </c>
      <c r="K10" s="1462">
        <f t="shared" si="0"/>
        <v>141916.38826929801</v>
      </c>
      <c r="L10" s="1462">
        <f t="shared" si="0"/>
        <v>34667.099388045594</v>
      </c>
      <c r="M10" s="1462">
        <f t="shared" si="0"/>
        <v>131756.50303458842</v>
      </c>
      <c r="N10" s="743"/>
      <c r="P10" s="1568" t="s">
        <v>433</v>
      </c>
      <c r="Q10" s="1568" t="s">
        <v>433</v>
      </c>
      <c r="R10" s="1568" t="s">
        <v>433</v>
      </c>
      <c r="S10" s="1568" t="s">
        <v>433</v>
      </c>
      <c r="T10" s="1568" t="s">
        <v>433</v>
      </c>
      <c r="U10" s="1568" t="s">
        <v>433</v>
      </c>
      <c r="V10" s="1568" t="s">
        <v>433</v>
      </c>
      <c r="W10" s="1568" t="s">
        <v>433</v>
      </c>
      <c r="X10" s="1568" t="s">
        <v>433</v>
      </c>
      <c r="Y10" s="1568" t="s">
        <v>433</v>
      </c>
      <c r="Z10" s="1568" t="s">
        <v>433</v>
      </c>
      <c r="AA10" s="1568" t="s">
        <v>433</v>
      </c>
      <c r="AB10" s="1568" t="s">
        <v>433</v>
      </c>
      <c r="AC10" s="1568" t="s">
        <v>433</v>
      </c>
      <c r="AD10" s="1568" t="s">
        <v>433</v>
      </c>
      <c r="AE10" s="1568" t="s">
        <v>433</v>
      </c>
      <c r="AF10" s="1568" t="s">
        <v>433</v>
      </c>
      <c r="AG10" s="1568" t="s">
        <v>433</v>
      </c>
    </row>
    <row r="11" spans="1:34" s="1452" customFormat="1" ht="22.5" hidden="1" customHeight="1" thickTop="1">
      <c r="A11" s="2043" t="s">
        <v>589</v>
      </c>
      <c r="B11" s="2044"/>
      <c r="C11" s="1455"/>
      <c r="D11" s="1456"/>
      <c r="E11" s="1463"/>
      <c r="F11" s="1463"/>
      <c r="G11" s="1463"/>
      <c r="H11" s="1463"/>
      <c r="I11" s="1463"/>
      <c r="J11" s="1463"/>
      <c r="K11" s="1463"/>
      <c r="L11" s="1463"/>
      <c r="M11" s="1463"/>
      <c r="N11" s="1451"/>
      <c r="P11" s="1649" t="s">
        <v>938</v>
      </c>
      <c r="Q11" s="1649" t="s">
        <v>937</v>
      </c>
      <c r="R11" s="1649" t="s">
        <v>959</v>
      </c>
      <c r="S11" s="1649" t="s">
        <v>958</v>
      </c>
      <c r="T11" s="1649" t="s">
        <v>957</v>
      </c>
      <c r="U11" s="1649" t="s">
        <v>956</v>
      </c>
      <c r="V11" s="1649" t="s">
        <v>955</v>
      </c>
      <c r="W11" s="1649" t="s">
        <v>954</v>
      </c>
      <c r="X11" s="1649" t="s">
        <v>953</v>
      </c>
      <c r="Y11" s="1649" t="s">
        <v>952</v>
      </c>
      <c r="Z11" s="1649" t="s">
        <v>951</v>
      </c>
      <c r="AA11" s="1649" t="s">
        <v>950</v>
      </c>
      <c r="AB11" s="1649" t="s">
        <v>949</v>
      </c>
      <c r="AC11" s="1649" t="s">
        <v>948</v>
      </c>
      <c r="AD11" s="1649" t="s">
        <v>947</v>
      </c>
      <c r="AE11" s="1649" t="s">
        <v>946</v>
      </c>
      <c r="AF11" s="1649" t="s">
        <v>945</v>
      </c>
      <c r="AG11" s="1649" t="s">
        <v>944</v>
      </c>
    </row>
    <row r="12" spans="1:34" ht="22.5" customHeight="1" thickTop="1">
      <c r="A12" s="1993"/>
      <c r="B12" s="2022"/>
      <c r="C12" s="1152" t="s">
        <v>187</v>
      </c>
      <c r="D12" s="1153" t="s">
        <v>180</v>
      </c>
      <c r="E12" s="1460">
        <f>P12+Q12</f>
        <v>1823065</v>
      </c>
      <c r="F12" s="1460">
        <f>R12+S12</f>
        <v>950885</v>
      </c>
      <c r="G12" s="1460">
        <f>T12+U12</f>
        <v>131126</v>
      </c>
      <c r="H12" s="1460">
        <f>V12+W12</f>
        <v>655386</v>
      </c>
      <c r="I12" s="1460">
        <f>X12+Y12</f>
        <v>133938</v>
      </c>
      <c r="J12" s="1460">
        <f>Z12+AA12</f>
        <v>217351</v>
      </c>
      <c r="K12" s="1460">
        <f>AB12+AC12</f>
        <v>200715</v>
      </c>
      <c r="L12" s="1460">
        <f>AD12+AE12</f>
        <v>269015</v>
      </c>
      <c r="M12" s="1460">
        <f>AF12+AG12</f>
        <v>215534</v>
      </c>
      <c r="N12" s="743"/>
      <c r="P12" s="1570">
        <v>1823074</v>
      </c>
      <c r="Q12" s="1570">
        <v>-9</v>
      </c>
      <c r="R12" s="1570">
        <v>950894</v>
      </c>
      <c r="S12" s="1570">
        <v>-9</v>
      </c>
      <c r="T12" s="1570">
        <v>131126</v>
      </c>
      <c r="U12" s="1570">
        <v>0</v>
      </c>
      <c r="V12" s="1570">
        <v>655385</v>
      </c>
      <c r="W12" s="1570">
        <v>1</v>
      </c>
      <c r="X12" s="1570">
        <v>133938</v>
      </c>
      <c r="Y12" s="1570">
        <v>0</v>
      </c>
      <c r="Z12" s="1570">
        <v>217350</v>
      </c>
      <c r="AA12" s="1570">
        <v>1</v>
      </c>
      <c r="AB12" s="1570">
        <v>200726</v>
      </c>
      <c r="AC12" s="1570">
        <v>-11</v>
      </c>
      <c r="AD12" s="1570">
        <v>269016</v>
      </c>
      <c r="AE12" s="1570">
        <v>-1</v>
      </c>
      <c r="AF12" s="1570">
        <v>215533</v>
      </c>
      <c r="AG12" s="1570">
        <v>1</v>
      </c>
    </row>
    <row r="13" spans="1:34" s="1452" customFormat="1" ht="22.5" hidden="1" customHeight="1">
      <c r="A13" s="1993"/>
      <c r="B13" s="2022"/>
      <c r="C13" s="1453"/>
      <c r="D13" s="1454"/>
      <c r="E13" s="1461"/>
      <c r="F13" s="1461"/>
      <c r="G13" s="1461"/>
      <c r="H13" s="1461"/>
      <c r="I13" s="1461"/>
      <c r="J13" s="1461"/>
      <c r="K13" s="1461"/>
      <c r="L13" s="1461"/>
      <c r="M13" s="1461"/>
      <c r="N13" s="1451"/>
      <c r="P13" s="1647" t="s">
        <v>936</v>
      </c>
      <c r="Q13" s="1647" t="s">
        <v>935</v>
      </c>
      <c r="R13" s="1647" t="s">
        <v>960</v>
      </c>
      <c r="S13" s="1647" t="s">
        <v>961</v>
      </c>
      <c r="T13" s="1647" t="s">
        <v>962</v>
      </c>
      <c r="U13" s="1647" t="s">
        <v>963</v>
      </c>
      <c r="V13" s="1647" t="s">
        <v>964</v>
      </c>
      <c r="W13" s="1647" t="s">
        <v>965</v>
      </c>
      <c r="X13" s="1647" t="s">
        <v>966</v>
      </c>
      <c r="Y13" s="1647" t="s">
        <v>967</v>
      </c>
      <c r="Z13" s="1647" t="s">
        <v>968</v>
      </c>
      <c r="AA13" s="1647" t="s">
        <v>969</v>
      </c>
      <c r="AB13" s="1647" t="s">
        <v>970</v>
      </c>
      <c r="AC13" s="1648" t="s">
        <v>1216</v>
      </c>
      <c r="AD13" s="1647" t="s">
        <v>971</v>
      </c>
      <c r="AE13" s="1647" t="s">
        <v>972</v>
      </c>
      <c r="AF13" s="1647" t="s">
        <v>973</v>
      </c>
      <c r="AG13" s="1647" t="s">
        <v>974</v>
      </c>
    </row>
    <row r="14" spans="1:34" ht="22.5" customHeight="1">
      <c r="A14" s="1993"/>
      <c r="B14" s="2022"/>
      <c r="C14" s="1152" t="s">
        <v>188</v>
      </c>
      <c r="D14" s="1153" t="s">
        <v>154</v>
      </c>
      <c r="E14" s="1460">
        <f>(P14+Q14)/1000</f>
        <v>102499460.426</v>
      </c>
      <c r="F14" s="1460">
        <f>(R14+S14)/1000</f>
        <v>89488899.180000007</v>
      </c>
      <c r="G14" s="1460">
        <f>(T14+U14)/1000</f>
        <v>3210446.0490000001</v>
      </c>
      <c r="H14" s="1460">
        <f>(V14+W14)/1000</f>
        <v>6293151.767</v>
      </c>
      <c r="I14" s="1460">
        <f>(X14+Y14)/1000</f>
        <v>12755522.458000001</v>
      </c>
      <c r="J14" s="1460">
        <f>(Z14+AA14)/1000</f>
        <v>16059598.622</v>
      </c>
      <c r="K14" s="1460">
        <f>(AB14+AC14)/1000</f>
        <v>27925284.517999999</v>
      </c>
      <c r="L14" s="1460">
        <f>(AD14+AE14)/1000</f>
        <v>9066274.9969999995</v>
      </c>
      <c r="M14" s="1460">
        <f>(AF14+AG14)/1000</f>
        <v>27189182.015000001</v>
      </c>
      <c r="N14" s="743"/>
      <c r="P14" s="1570">
        <v>102499523093</v>
      </c>
      <c r="Q14" s="1570">
        <v>-62667</v>
      </c>
      <c r="R14" s="1570">
        <v>89488984553</v>
      </c>
      <c r="S14" s="1570">
        <v>-85373</v>
      </c>
      <c r="T14" s="1570">
        <v>3210446049</v>
      </c>
      <c r="U14" s="1570">
        <v>0</v>
      </c>
      <c r="V14" s="1570">
        <v>6293144288</v>
      </c>
      <c r="W14" s="1570">
        <v>7479</v>
      </c>
      <c r="X14" s="1570">
        <v>12755522458</v>
      </c>
      <c r="Y14" s="1570">
        <v>0</v>
      </c>
      <c r="Z14" s="1570">
        <v>16059581040</v>
      </c>
      <c r="AA14" s="1570">
        <v>17582</v>
      </c>
      <c r="AB14" s="1570">
        <v>27925471534</v>
      </c>
      <c r="AC14" s="1570">
        <v>-187016</v>
      </c>
      <c r="AD14" s="1570">
        <v>9066285175</v>
      </c>
      <c r="AE14" s="1570">
        <v>-10178</v>
      </c>
      <c r="AF14" s="1570">
        <v>27189072549</v>
      </c>
      <c r="AG14" s="1570">
        <v>109466</v>
      </c>
    </row>
    <row r="15" spans="1:34" ht="22.5" customHeight="1">
      <c r="A15" s="1993"/>
      <c r="B15" s="2022"/>
      <c r="C15" s="1154" t="s">
        <v>189</v>
      </c>
      <c r="D15" s="1155" t="s">
        <v>176</v>
      </c>
      <c r="E15" s="1464">
        <f t="shared" ref="E15:M15" si="1">IF(ISERR(E14/E12),"－",E14/E12*1000)</f>
        <v>56223.700430867793</v>
      </c>
      <c r="F15" s="1464">
        <f t="shared" si="1"/>
        <v>94111.16925811219</v>
      </c>
      <c r="G15" s="1464">
        <f t="shared" si="1"/>
        <v>24483.672566844107</v>
      </c>
      <c r="H15" s="1464">
        <f t="shared" si="1"/>
        <v>9602.2065881785693</v>
      </c>
      <c r="I15" s="1464">
        <f t="shared" si="1"/>
        <v>95234.529842165779</v>
      </c>
      <c r="J15" s="1464">
        <f t="shared" si="1"/>
        <v>73887.852469047764</v>
      </c>
      <c r="K15" s="1464">
        <f t="shared" si="1"/>
        <v>139129.0362852801</v>
      </c>
      <c r="L15" s="1464">
        <f t="shared" si="1"/>
        <v>33701.745244688958</v>
      </c>
      <c r="M15" s="1464">
        <f t="shared" si="1"/>
        <v>126147.99528148692</v>
      </c>
      <c r="N15" s="743"/>
      <c r="P15" s="1568" t="s">
        <v>433</v>
      </c>
      <c r="Q15" s="1568" t="s">
        <v>433</v>
      </c>
      <c r="R15" s="1568" t="s">
        <v>433</v>
      </c>
      <c r="S15" s="1568" t="s">
        <v>433</v>
      </c>
      <c r="T15" s="1568" t="s">
        <v>433</v>
      </c>
      <c r="U15" s="1568" t="s">
        <v>433</v>
      </c>
      <c r="V15" s="1568" t="s">
        <v>433</v>
      </c>
      <c r="W15" s="1568" t="s">
        <v>433</v>
      </c>
      <c r="X15" s="1568" t="s">
        <v>433</v>
      </c>
      <c r="Y15" s="1568" t="s">
        <v>433</v>
      </c>
      <c r="Z15" s="1568" t="s">
        <v>433</v>
      </c>
      <c r="AA15" s="1568" t="s">
        <v>433</v>
      </c>
      <c r="AB15" s="1568" t="s">
        <v>433</v>
      </c>
      <c r="AC15" s="1568" t="s">
        <v>433</v>
      </c>
      <c r="AD15" s="1568" t="s">
        <v>433</v>
      </c>
      <c r="AE15" s="1568" t="s">
        <v>433</v>
      </c>
      <c r="AF15" s="1568" t="s">
        <v>433</v>
      </c>
      <c r="AG15" s="1568" t="s">
        <v>433</v>
      </c>
    </row>
    <row r="16" spans="1:34" s="1452" customFormat="1" ht="12" hidden="1" customHeight="1">
      <c r="A16" s="1419"/>
      <c r="B16" s="1318"/>
      <c r="C16" s="1449"/>
      <c r="D16" s="1450"/>
      <c r="E16" s="1459"/>
      <c r="F16" s="1459"/>
      <c r="G16" s="1459"/>
      <c r="H16" s="1459"/>
      <c r="I16" s="1459"/>
      <c r="J16" s="1459"/>
      <c r="K16" s="1459"/>
      <c r="L16" s="1459"/>
      <c r="M16" s="1459"/>
      <c r="N16" s="1451"/>
      <c r="P16" s="1649" t="s">
        <v>938</v>
      </c>
      <c r="Q16" s="1649" t="s">
        <v>937</v>
      </c>
      <c r="R16" s="1649" t="s">
        <v>959</v>
      </c>
      <c r="S16" s="1649" t="s">
        <v>958</v>
      </c>
      <c r="T16" s="1649" t="s">
        <v>957</v>
      </c>
      <c r="U16" s="1649" t="s">
        <v>956</v>
      </c>
      <c r="V16" s="1649" t="s">
        <v>955</v>
      </c>
      <c r="W16" s="1649" t="s">
        <v>954</v>
      </c>
      <c r="X16" s="1649" t="s">
        <v>953</v>
      </c>
      <c r="Y16" s="1649" t="s">
        <v>952</v>
      </c>
      <c r="Z16" s="1649" t="s">
        <v>951</v>
      </c>
      <c r="AA16" s="1649" t="s">
        <v>950</v>
      </c>
      <c r="AB16" s="1649" t="s">
        <v>949</v>
      </c>
      <c r="AC16" s="1649" t="s">
        <v>948</v>
      </c>
      <c r="AD16" s="1649" t="s">
        <v>947</v>
      </c>
      <c r="AE16" s="1649" t="s">
        <v>946</v>
      </c>
      <c r="AF16" s="1649" t="s">
        <v>945</v>
      </c>
      <c r="AG16" s="1649" t="s">
        <v>944</v>
      </c>
    </row>
    <row r="17" spans="1:33" ht="22.5" customHeight="1">
      <c r="A17" s="1145"/>
      <c r="B17" s="2046" t="s">
        <v>437</v>
      </c>
      <c r="C17" s="1447" t="s">
        <v>187</v>
      </c>
      <c r="D17" s="1448" t="s">
        <v>180</v>
      </c>
      <c r="E17" s="1460">
        <f>P17+Q17</f>
        <v>1220161</v>
      </c>
      <c r="F17" s="1460">
        <f>R17+S17</f>
        <v>631181</v>
      </c>
      <c r="G17" s="1460">
        <f>T17+U17</f>
        <v>89360</v>
      </c>
      <c r="H17" s="1460">
        <f>V17+W17</f>
        <v>444809</v>
      </c>
      <c r="I17" s="1460">
        <f>X17+Y17</f>
        <v>87333</v>
      </c>
      <c r="J17" s="1460">
        <f>Z17+AA17</f>
        <v>148423</v>
      </c>
      <c r="K17" s="1460">
        <f>AB17+AC17</f>
        <v>129855</v>
      </c>
      <c r="L17" s="1460">
        <f>AD17+AE17</f>
        <v>176805</v>
      </c>
      <c r="M17" s="1460">
        <f>AF17+AG17</f>
        <v>143576</v>
      </c>
      <c r="N17" s="743"/>
      <c r="P17" s="1570">
        <v>1220170</v>
      </c>
      <c r="Q17" s="1570">
        <v>-9</v>
      </c>
      <c r="R17" s="1570">
        <v>631190</v>
      </c>
      <c r="S17" s="1570">
        <v>-9</v>
      </c>
      <c r="T17" s="1570">
        <v>89360</v>
      </c>
      <c r="U17" s="1570">
        <v>0</v>
      </c>
      <c r="V17" s="1570">
        <v>444808</v>
      </c>
      <c r="W17" s="1570">
        <v>1</v>
      </c>
      <c r="X17" s="1570">
        <v>87333</v>
      </c>
      <c r="Y17" s="1570">
        <v>0</v>
      </c>
      <c r="Z17" s="1570">
        <v>148422</v>
      </c>
      <c r="AA17" s="1570">
        <v>1</v>
      </c>
      <c r="AB17" s="1570">
        <v>129865</v>
      </c>
      <c r="AC17" s="1570">
        <v>-10</v>
      </c>
      <c r="AD17" s="1570">
        <v>176806</v>
      </c>
      <c r="AE17" s="1570">
        <v>-1</v>
      </c>
      <c r="AF17" s="1570">
        <v>143576</v>
      </c>
      <c r="AG17" s="1570">
        <v>0</v>
      </c>
    </row>
    <row r="18" spans="1:33" s="1452" customFormat="1" ht="22.5" hidden="1" customHeight="1">
      <c r="A18" s="1419"/>
      <c r="B18" s="2020"/>
      <c r="C18" s="1457"/>
      <c r="D18" s="1458"/>
      <c r="E18" s="1465"/>
      <c r="F18" s="1465"/>
      <c r="G18" s="1465"/>
      <c r="H18" s="1465"/>
      <c r="I18" s="1465"/>
      <c r="J18" s="1465"/>
      <c r="K18" s="1465"/>
      <c r="L18" s="1465"/>
      <c r="M18" s="1465"/>
      <c r="N18" s="1451"/>
      <c r="P18" s="1647" t="s">
        <v>936</v>
      </c>
      <c r="Q18" s="1647" t="s">
        <v>935</v>
      </c>
      <c r="R18" s="1647" t="s">
        <v>960</v>
      </c>
      <c r="S18" s="1647" t="s">
        <v>961</v>
      </c>
      <c r="T18" s="1647" t="s">
        <v>962</v>
      </c>
      <c r="U18" s="1647" t="s">
        <v>963</v>
      </c>
      <c r="V18" s="1647" t="s">
        <v>964</v>
      </c>
      <c r="W18" s="1647" t="s">
        <v>965</v>
      </c>
      <c r="X18" s="1647" t="s">
        <v>966</v>
      </c>
      <c r="Y18" s="1647" t="s">
        <v>967</v>
      </c>
      <c r="Z18" s="1647" t="s">
        <v>968</v>
      </c>
      <c r="AA18" s="1647" t="s">
        <v>969</v>
      </c>
      <c r="AB18" s="1647" t="s">
        <v>970</v>
      </c>
      <c r="AC18" s="1648" t="s">
        <v>1216</v>
      </c>
      <c r="AD18" s="1647" t="s">
        <v>971</v>
      </c>
      <c r="AE18" s="1647" t="s">
        <v>972</v>
      </c>
      <c r="AF18" s="1647" t="s">
        <v>973</v>
      </c>
      <c r="AG18" s="1647" t="s">
        <v>974</v>
      </c>
    </row>
    <row r="19" spans="1:33" ht="22.5" customHeight="1">
      <c r="A19" s="1145"/>
      <c r="B19" s="2020"/>
      <c r="C19" s="1150" t="s">
        <v>188</v>
      </c>
      <c r="D19" s="1149" t="s">
        <v>154</v>
      </c>
      <c r="E19" s="1460">
        <f>(P19+Q19)/1000</f>
        <v>69263884.298999995</v>
      </c>
      <c r="F19" s="1460">
        <f>(R19+S19)/1000</f>
        <v>60078746.846000001</v>
      </c>
      <c r="G19" s="1460">
        <f>(T19+U19)/1000</f>
        <v>2210978.5269999998</v>
      </c>
      <c r="H19" s="1460">
        <f>(V19+W19)/1000</f>
        <v>4285230.04</v>
      </c>
      <c r="I19" s="1460">
        <f>(X19+Y19)/1000</f>
        <v>8510474.4140000008</v>
      </c>
      <c r="J19" s="1460">
        <f>(Z19+AA19)/1000</f>
        <v>11096917.086999999</v>
      </c>
      <c r="K19" s="1460">
        <f>(AB19+AC19)/1000</f>
        <v>18567882.577</v>
      </c>
      <c r="L19" s="1460">
        <f>(AD19+AE19)/1000</f>
        <v>5969847.4390000002</v>
      </c>
      <c r="M19" s="1460">
        <f>(AF19+AG19)/1000</f>
        <v>18622554.215</v>
      </c>
      <c r="N19" s="743"/>
      <c r="P19" s="1570">
        <v>69263936616</v>
      </c>
      <c r="Q19" s="1570">
        <v>-52317</v>
      </c>
      <c r="R19" s="1570">
        <v>60078821869</v>
      </c>
      <c r="S19" s="1570">
        <v>-75023</v>
      </c>
      <c r="T19" s="1570">
        <v>2210978527</v>
      </c>
      <c r="U19" s="1570">
        <v>0</v>
      </c>
      <c r="V19" s="1570">
        <v>4285222561</v>
      </c>
      <c r="W19" s="1570">
        <v>7479</v>
      </c>
      <c r="X19" s="1570">
        <v>8510474414</v>
      </c>
      <c r="Y19" s="1570">
        <v>0</v>
      </c>
      <c r="Z19" s="1570">
        <v>11096899505</v>
      </c>
      <c r="AA19" s="1570">
        <v>17582</v>
      </c>
      <c r="AB19" s="1570">
        <v>18567958132</v>
      </c>
      <c r="AC19" s="1570">
        <v>-75555</v>
      </c>
      <c r="AD19" s="1570">
        <v>5969849262</v>
      </c>
      <c r="AE19" s="1570">
        <v>-1823</v>
      </c>
      <c r="AF19" s="1570">
        <v>18622554215</v>
      </c>
      <c r="AG19" s="1570">
        <v>0</v>
      </c>
    </row>
    <row r="20" spans="1:33" ht="22.5" customHeight="1">
      <c r="A20" s="1145"/>
      <c r="B20" s="2021"/>
      <c r="C20" s="1156" t="s">
        <v>189</v>
      </c>
      <c r="D20" s="1157" t="s">
        <v>176</v>
      </c>
      <c r="E20" s="1466">
        <f>IF(ISERR(E19/E17),"－",E19/E17*1000)</f>
        <v>56766.184379766273</v>
      </c>
      <c r="F20" s="1466">
        <f t="shared" ref="F20:M20" si="2">IF(ISERR(F19/F17),"－",F19/F17*1000)</f>
        <v>95184.656771987749</v>
      </c>
      <c r="G20" s="1466">
        <f t="shared" si="2"/>
        <v>24742.373847358995</v>
      </c>
      <c r="H20" s="1466">
        <f t="shared" si="2"/>
        <v>9633.8654118958912</v>
      </c>
      <c r="I20" s="1466">
        <f t="shared" si="2"/>
        <v>97448.552254016249</v>
      </c>
      <c r="J20" s="1466">
        <f t="shared" si="2"/>
        <v>74765.481677368065</v>
      </c>
      <c r="K20" s="1466">
        <f t="shared" si="2"/>
        <v>142989.35410265296</v>
      </c>
      <c r="L20" s="1466">
        <f t="shared" si="2"/>
        <v>33765.150527417216</v>
      </c>
      <c r="M20" s="1466">
        <f t="shared" si="2"/>
        <v>129705.20292388699</v>
      </c>
      <c r="N20" s="743"/>
      <c r="P20" s="1568" t="s">
        <v>433</v>
      </c>
      <c r="Q20" s="1568" t="s">
        <v>433</v>
      </c>
      <c r="R20" s="1568" t="s">
        <v>433</v>
      </c>
      <c r="S20" s="1568" t="s">
        <v>433</v>
      </c>
      <c r="T20" s="1568" t="s">
        <v>433</v>
      </c>
      <c r="U20" s="1568" t="s">
        <v>433</v>
      </c>
      <c r="V20" s="1568" t="s">
        <v>433</v>
      </c>
      <c r="W20" s="1568" t="s">
        <v>433</v>
      </c>
      <c r="X20" s="1568" t="s">
        <v>433</v>
      </c>
      <c r="Y20" s="1568" t="s">
        <v>433</v>
      </c>
      <c r="Z20" s="1568" t="s">
        <v>433</v>
      </c>
      <c r="AA20" s="1568" t="s">
        <v>433</v>
      </c>
      <c r="AB20" s="1568" t="s">
        <v>433</v>
      </c>
      <c r="AC20" s="1568" t="s">
        <v>433</v>
      </c>
      <c r="AD20" s="1568" t="s">
        <v>433</v>
      </c>
      <c r="AE20" s="1568" t="s">
        <v>433</v>
      </c>
      <c r="AF20" s="1568" t="s">
        <v>433</v>
      </c>
      <c r="AG20" s="1568" t="s">
        <v>433</v>
      </c>
    </row>
    <row r="21" spans="1:33" s="1452" customFormat="1" ht="12" hidden="1" customHeight="1">
      <c r="A21" s="1419"/>
      <c r="B21" s="2020" t="s">
        <v>591</v>
      </c>
      <c r="C21" s="1449"/>
      <c r="D21" s="1450"/>
      <c r="E21" s="1459"/>
      <c r="F21" s="1459"/>
      <c r="G21" s="1459"/>
      <c r="H21" s="1459"/>
      <c r="I21" s="1459"/>
      <c r="J21" s="1459"/>
      <c r="K21" s="1459"/>
      <c r="L21" s="1459"/>
      <c r="M21" s="1459"/>
      <c r="N21" s="1451"/>
      <c r="P21" s="1649" t="s">
        <v>938</v>
      </c>
      <c r="Q21" s="1649" t="s">
        <v>937</v>
      </c>
      <c r="R21" s="1649" t="s">
        <v>959</v>
      </c>
      <c r="S21" s="1649" t="s">
        <v>958</v>
      </c>
      <c r="T21" s="1649" t="s">
        <v>957</v>
      </c>
      <c r="U21" s="1649" t="s">
        <v>956</v>
      </c>
      <c r="V21" s="1649" t="s">
        <v>955</v>
      </c>
      <c r="W21" s="1649" t="s">
        <v>954</v>
      </c>
      <c r="X21" s="1649" t="s">
        <v>953</v>
      </c>
      <c r="Y21" s="1649" t="s">
        <v>952</v>
      </c>
      <c r="Z21" s="1649" t="s">
        <v>951</v>
      </c>
      <c r="AA21" s="1649" t="s">
        <v>950</v>
      </c>
      <c r="AB21" s="1649" t="s">
        <v>949</v>
      </c>
      <c r="AC21" s="1649" t="s">
        <v>948</v>
      </c>
      <c r="AD21" s="1649" t="s">
        <v>947</v>
      </c>
      <c r="AE21" s="1649" t="s">
        <v>946</v>
      </c>
      <c r="AF21" s="1649" t="s">
        <v>945</v>
      </c>
      <c r="AG21" s="1649" t="s">
        <v>944</v>
      </c>
    </row>
    <row r="22" spans="1:33" ht="22.5" customHeight="1">
      <c r="A22" s="1145"/>
      <c r="B22" s="2020"/>
      <c r="C22" s="1152" t="s">
        <v>187</v>
      </c>
      <c r="D22" s="1153" t="s">
        <v>180</v>
      </c>
      <c r="E22" s="1460">
        <f>P22+Q22</f>
        <v>602904</v>
      </c>
      <c r="F22" s="1460">
        <f>R22+S22</f>
        <v>319704</v>
      </c>
      <c r="G22" s="1460">
        <f>T22+U22</f>
        <v>41766</v>
      </c>
      <c r="H22" s="1460">
        <f>V22+W22</f>
        <v>210577</v>
      </c>
      <c r="I22" s="1460">
        <f>X22+Y22</f>
        <v>46605</v>
      </c>
      <c r="J22" s="1460">
        <f>Z22+AA22</f>
        <v>68928</v>
      </c>
      <c r="K22" s="1460">
        <f>AB22+AC22</f>
        <v>70860</v>
      </c>
      <c r="L22" s="1460">
        <f>AD22+AE22</f>
        <v>92210</v>
      </c>
      <c r="M22" s="1460">
        <f>AF22+AG22</f>
        <v>71958</v>
      </c>
      <c r="N22" s="743"/>
      <c r="P22" s="1570">
        <v>602904</v>
      </c>
      <c r="Q22" s="1570">
        <v>0</v>
      </c>
      <c r="R22" s="1570">
        <v>319704</v>
      </c>
      <c r="S22" s="1570">
        <v>0</v>
      </c>
      <c r="T22" s="1570">
        <v>41766</v>
      </c>
      <c r="U22" s="1570">
        <v>0</v>
      </c>
      <c r="V22" s="1570">
        <v>210577</v>
      </c>
      <c r="W22" s="1570">
        <v>0</v>
      </c>
      <c r="X22" s="1570">
        <v>46605</v>
      </c>
      <c r="Y22" s="1570">
        <v>0</v>
      </c>
      <c r="Z22" s="1570">
        <v>68928</v>
      </c>
      <c r="AA22" s="1570">
        <v>0</v>
      </c>
      <c r="AB22" s="1570">
        <v>70861</v>
      </c>
      <c r="AC22" s="1570">
        <v>-1</v>
      </c>
      <c r="AD22" s="1570">
        <v>92210</v>
      </c>
      <c r="AE22" s="1570">
        <v>0</v>
      </c>
      <c r="AF22" s="1570">
        <v>71957</v>
      </c>
      <c r="AG22" s="1570">
        <v>1</v>
      </c>
    </row>
    <row r="23" spans="1:33" s="1452" customFormat="1" ht="13.5" hidden="1" customHeight="1">
      <c r="A23" s="1419"/>
      <c r="B23" s="2020"/>
      <c r="C23" s="1453"/>
      <c r="D23" s="1454"/>
      <c r="E23" s="1461"/>
      <c r="F23" s="1461"/>
      <c r="G23" s="1461"/>
      <c r="H23" s="1461"/>
      <c r="I23" s="1461"/>
      <c r="J23" s="1461"/>
      <c r="K23" s="1461"/>
      <c r="L23" s="1461"/>
      <c r="M23" s="1461"/>
      <c r="N23" s="1451"/>
      <c r="P23" s="1647" t="s">
        <v>936</v>
      </c>
      <c r="Q23" s="1647" t="s">
        <v>935</v>
      </c>
      <c r="R23" s="1647" t="s">
        <v>960</v>
      </c>
      <c r="S23" s="1647" t="s">
        <v>961</v>
      </c>
      <c r="T23" s="1647" t="s">
        <v>962</v>
      </c>
      <c r="U23" s="1647" t="s">
        <v>963</v>
      </c>
      <c r="V23" s="1647" t="s">
        <v>964</v>
      </c>
      <c r="W23" s="1647" t="s">
        <v>965</v>
      </c>
      <c r="X23" s="1647" t="s">
        <v>966</v>
      </c>
      <c r="Y23" s="1647" t="s">
        <v>967</v>
      </c>
      <c r="Z23" s="1647" t="s">
        <v>968</v>
      </c>
      <c r="AA23" s="1647" t="s">
        <v>969</v>
      </c>
      <c r="AB23" s="1647" t="s">
        <v>970</v>
      </c>
      <c r="AC23" s="1648" t="s">
        <v>1216</v>
      </c>
      <c r="AD23" s="1647" t="s">
        <v>971</v>
      </c>
      <c r="AE23" s="1647" t="s">
        <v>972</v>
      </c>
      <c r="AF23" s="1647" t="s">
        <v>973</v>
      </c>
      <c r="AG23" s="1647" t="s">
        <v>974</v>
      </c>
    </row>
    <row r="24" spans="1:33" ht="22.5" customHeight="1">
      <c r="A24" s="1145"/>
      <c r="B24" s="2020"/>
      <c r="C24" s="1152" t="s">
        <v>188</v>
      </c>
      <c r="D24" s="1153" t="s">
        <v>154</v>
      </c>
      <c r="E24" s="1460">
        <f>(P24+Q24)/1000</f>
        <v>33235576.127</v>
      </c>
      <c r="F24" s="1460">
        <f>(R24+S24)/1000</f>
        <v>29410152.333999999</v>
      </c>
      <c r="G24" s="1460">
        <f>(T24+U24)/1000</f>
        <v>999467.522</v>
      </c>
      <c r="H24" s="1460">
        <f>(V24+W24)/1000</f>
        <v>2007921.727</v>
      </c>
      <c r="I24" s="1460">
        <f>(X24+Y24)/1000</f>
        <v>4245048.0439999998</v>
      </c>
      <c r="J24" s="1460">
        <f>(Z24+AA24)/1000</f>
        <v>4962681.5350000001</v>
      </c>
      <c r="K24" s="1460">
        <f>(AB24+AC24)/1000</f>
        <v>9357401.9409999996</v>
      </c>
      <c r="L24" s="1460">
        <f>(AD24+AE24)/1000</f>
        <v>3096427.5580000002</v>
      </c>
      <c r="M24" s="1460">
        <f>(AF24+AG24)/1000</f>
        <v>8566627.8000000007</v>
      </c>
      <c r="N24" s="743"/>
      <c r="P24" s="1570">
        <v>33235586477</v>
      </c>
      <c r="Q24" s="1570">
        <v>-10350</v>
      </c>
      <c r="R24" s="1570">
        <v>29410162684</v>
      </c>
      <c r="S24" s="1570">
        <v>-10350</v>
      </c>
      <c r="T24" s="1570">
        <v>999467522</v>
      </c>
      <c r="U24" s="1570">
        <v>0</v>
      </c>
      <c r="V24" s="1570">
        <v>2007921727</v>
      </c>
      <c r="W24" s="1570">
        <v>0</v>
      </c>
      <c r="X24" s="1570">
        <v>4245048044</v>
      </c>
      <c r="Y24" s="1570">
        <v>0</v>
      </c>
      <c r="Z24" s="1570">
        <v>4962681535</v>
      </c>
      <c r="AA24" s="1570">
        <v>0</v>
      </c>
      <c r="AB24" s="1570">
        <v>9357513402</v>
      </c>
      <c r="AC24" s="1570">
        <v>-111461</v>
      </c>
      <c r="AD24" s="1570">
        <v>3096435913</v>
      </c>
      <c r="AE24" s="1570">
        <v>-8355</v>
      </c>
      <c r="AF24" s="1570">
        <v>8566518334</v>
      </c>
      <c r="AG24" s="1570">
        <v>109466</v>
      </c>
    </row>
    <row r="25" spans="1:33" ht="22.5" customHeight="1" thickBot="1">
      <c r="A25" s="1147"/>
      <c r="B25" s="2037"/>
      <c r="C25" s="1445" t="s">
        <v>189</v>
      </c>
      <c r="D25" s="1446" t="s">
        <v>176</v>
      </c>
      <c r="E25" s="1462">
        <f>IF(ISERR(E24/E22),"－",E24/E22*1000)</f>
        <v>55125.817919602465</v>
      </c>
      <c r="F25" s="1462">
        <f t="shared" ref="F25:M25" si="3">IF(ISERR(F24/F22),"－",F24/F22*1000)</f>
        <v>91991.818475840148</v>
      </c>
      <c r="G25" s="1462">
        <f t="shared" si="3"/>
        <v>23930.171000335198</v>
      </c>
      <c r="H25" s="1462">
        <f t="shared" si="3"/>
        <v>9535.3325719333061</v>
      </c>
      <c r="I25" s="1462">
        <f t="shared" si="3"/>
        <v>91085.678446518607</v>
      </c>
      <c r="J25" s="1462">
        <f t="shared" si="3"/>
        <v>71998.049196262771</v>
      </c>
      <c r="K25" s="1462">
        <f t="shared" si="3"/>
        <v>132054.78324865934</v>
      </c>
      <c r="L25" s="1462">
        <f t="shared" si="3"/>
        <v>33580.170892527924</v>
      </c>
      <c r="M25" s="1462">
        <f t="shared" si="3"/>
        <v>119050.38772617361</v>
      </c>
      <c r="N25" s="743"/>
      <c r="P25" s="1568" t="s">
        <v>433</v>
      </c>
      <c r="Q25" s="1568" t="s">
        <v>433</v>
      </c>
      <c r="R25" s="1568" t="s">
        <v>433</v>
      </c>
      <c r="S25" s="1568" t="s">
        <v>433</v>
      </c>
      <c r="T25" s="1568" t="s">
        <v>433</v>
      </c>
      <c r="U25" s="1568" t="s">
        <v>433</v>
      </c>
      <c r="V25" s="1568" t="s">
        <v>433</v>
      </c>
      <c r="W25" s="1568" t="s">
        <v>433</v>
      </c>
      <c r="X25" s="1568" t="s">
        <v>433</v>
      </c>
      <c r="Y25" s="1568" t="s">
        <v>433</v>
      </c>
      <c r="Z25" s="1568" t="s">
        <v>433</v>
      </c>
      <c r="AA25" s="1568" t="s">
        <v>433</v>
      </c>
      <c r="AB25" s="1568" t="s">
        <v>433</v>
      </c>
      <c r="AC25" s="1568" t="s">
        <v>433</v>
      </c>
      <c r="AD25" s="1568" t="s">
        <v>433</v>
      </c>
      <c r="AE25" s="1568" t="s">
        <v>433</v>
      </c>
      <c r="AF25" s="1568" t="s">
        <v>433</v>
      </c>
      <c r="AG25" s="1568" t="s">
        <v>433</v>
      </c>
    </row>
    <row r="26" spans="1:33" s="1452" customFormat="1" ht="12.6" hidden="1" thickTop="1">
      <c r="A26" s="2043" t="s">
        <v>155</v>
      </c>
      <c r="B26" s="2044"/>
      <c r="C26" s="1455"/>
      <c r="D26" s="1456"/>
      <c r="E26" s="1463"/>
      <c r="F26" s="1463"/>
      <c r="G26" s="1463"/>
      <c r="H26" s="1463"/>
      <c r="I26" s="1463"/>
      <c r="J26" s="1463"/>
      <c r="K26" s="1463"/>
      <c r="L26" s="1463"/>
      <c r="M26" s="1463"/>
      <c r="N26" s="1451"/>
      <c r="P26" s="1650" t="s">
        <v>938</v>
      </c>
      <c r="Q26" s="1613" t="s">
        <v>433</v>
      </c>
      <c r="R26" s="1650" t="s">
        <v>959</v>
      </c>
      <c r="S26" s="1613" t="s">
        <v>433</v>
      </c>
      <c r="T26" s="1650" t="s">
        <v>957</v>
      </c>
      <c r="U26" s="1613" t="s">
        <v>433</v>
      </c>
      <c r="V26" s="1650" t="s">
        <v>955</v>
      </c>
      <c r="W26" s="1613" t="s">
        <v>433</v>
      </c>
      <c r="X26" s="1650" t="s">
        <v>953</v>
      </c>
      <c r="Y26" s="1613" t="s">
        <v>433</v>
      </c>
      <c r="Z26" s="1650" t="s">
        <v>951</v>
      </c>
      <c r="AA26" s="1613" t="s">
        <v>433</v>
      </c>
      <c r="AB26" s="1650" t="s">
        <v>949</v>
      </c>
      <c r="AC26" s="1613" t="s">
        <v>433</v>
      </c>
      <c r="AD26" s="1650" t="s">
        <v>947</v>
      </c>
      <c r="AE26" s="1613" t="s">
        <v>433</v>
      </c>
      <c r="AF26" s="1650" t="s">
        <v>945</v>
      </c>
      <c r="AG26" s="1613" t="s">
        <v>433</v>
      </c>
    </row>
    <row r="27" spans="1:33" ht="22.5" customHeight="1" thickTop="1">
      <c r="A27" s="1993"/>
      <c r="B27" s="2022"/>
      <c r="C27" s="1151" t="s">
        <v>187</v>
      </c>
      <c r="D27" s="744" t="s">
        <v>180</v>
      </c>
      <c r="E27" s="1460">
        <f>P27</f>
        <v>193756</v>
      </c>
      <c r="F27" s="1460">
        <f>R27</f>
        <v>120779</v>
      </c>
      <c r="G27" s="1460">
        <f>T27</f>
        <v>15540</v>
      </c>
      <c r="H27" s="1460">
        <f>V27</f>
        <v>40288</v>
      </c>
      <c r="I27" s="1460">
        <f>X27</f>
        <v>22032</v>
      </c>
      <c r="J27" s="1460">
        <f>Z27</f>
        <v>20505</v>
      </c>
      <c r="K27" s="1460">
        <f>AB27</f>
        <v>36628</v>
      </c>
      <c r="L27" s="1460">
        <f>AD27</f>
        <v>19732</v>
      </c>
      <c r="M27" s="1460">
        <f>AF27</f>
        <v>39031</v>
      </c>
      <c r="N27" s="743"/>
      <c r="P27" s="1570">
        <v>193756</v>
      </c>
      <c r="Q27" s="1568" t="s">
        <v>433</v>
      </c>
      <c r="R27" s="1570">
        <v>120779</v>
      </c>
      <c r="S27" s="1568" t="s">
        <v>433</v>
      </c>
      <c r="T27" s="1570">
        <v>15540</v>
      </c>
      <c r="U27" s="1568" t="s">
        <v>433</v>
      </c>
      <c r="V27" s="1570">
        <v>40288</v>
      </c>
      <c r="W27" s="1568" t="s">
        <v>433</v>
      </c>
      <c r="X27" s="1570">
        <v>22032</v>
      </c>
      <c r="Y27" s="1568" t="s">
        <v>433</v>
      </c>
      <c r="Z27" s="1570">
        <v>20505</v>
      </c>
      <c r="AA27" s="1568" t="s">
        <v>433</v>
      </c>
      <c r="AB27" s="1570">
        <v>36628</v>
      </c>
      <c r="AC27" s="1568" t="s">
        <v>433</v>
      </c>
      <c r="AD27" s="1570">
        <v>19732</v>
      </c>
      <c r="AE27" s="1568" t="s">
        <v>433</v>
      </c>
      <c r="AF27" s="1570">
        <v>39031</v>
      </c>
      <c r="AG27" s="1568" t="s">
        <v>433</v>
      </c>
    </row>
    <row r="28" spans="1:33" s="1452" customFormat="1" ht="22.5" hidden="1" customHeight="1">
      <c r="A28" s="1993"/>
      <c r="B28" s="2022"/>
      <c r="C28" s="1457"/>
      <c r="D28" s="1458"/>
      <c r="E28" s="1465"/>
      <c r="F28" s="1465"/>
      <c r="G28" s="1465"/>
      <c r="H28" s="1465"/>
      <c r="I28" s="1465"/>
      <c r="J28" s="1465"/>
      <c r="K28" s="1465"/>
      <c r="L28" s="1465"/>
      <c r="M28" s="1465"/>
      <c r="N28" s="1451"/>
      <c r="P28" s="1647" t="s">
        <v>936</v>
      </c>
      <c r="Q28" s="1568" t="s">
        <v>433</v>
      </c>
      <c r="R28" s="1647" t="s">
        <v>960</v>
      </c>
      <c r="S28" s="1568" t="s">
        <v>433</v>
      </c>
      <c r="T28" s="1647" t="s">
        <v>962</v>
      </c>
      <c r="U28" s="1568" t="s">
        <v>433</v>
      </c>
      <c r="V28" s="1647" t="s">
        <v>964</v>
      </c>
      <c r="W28" s="1568" t="s">
        <v>433</v>
      </c>
      <c r="X28" s="1647" t="s">
        <v>966</v>
      </c>
      <c r="Y28" s="1568" t="s">
        <v>433</v>
      </c>
      <c r="Z28" s="1647" t="s">
        <v>968</v>
      </c>
      <c r="AA28" s="1568" t="s">
        <v>433</v>
      </c>
      <c r="AB28" s="1647" t="s">
        <v>970</v>
      </c>
      <c r="AC28" s="1568" t="s">
        <v>433</v>
      </c>
      <c r="AD28" s="1647" t="s">
        <v>971</v>
      </c>
      <c r="AE28" s="1568" t="s">
        <v>433</v>
      </c>
      <c r="AF28" s="1647" t="s">
        <v>973</v>
      </c>
      <c r="AG28" s="1568" t="s">
        <v>433</v>
      </c>
    </row>
    <row r="29" spans="1:33" ht="22.5" customHeight="1">
      <c r="A29" s="1993"/>
      <c r="B29" s="2022"/>
      <c r="C29" s="1150" t="s">
        <v>188</v>
      </c>
      <c r="D29" s="1149" t="s">
        <v>154</v>
      </c>
      <c r="E29" s="1460">
        <f>P29/1000</f>
        <v>18699647.407000002</v>
      </c>
      <c r="F29" s="1460">
        <f>R29/1000</f>
        <v>16363946.359999999</v>
      </c>
      <c r="G29" s="1460">
        <f>T29/1000</f>
        <v>560811.63</v>
      </c>
      <c r="H29" s="1460">
        <f>V29/1000</f>
        <v>715613.63699999999</v>
      </c>
      <c r="I29" s="1460">
        <f>X29/1000</f>
        <v>2639727.2990000001</v>
      </c>
      <c r="J29" s="1460">
        <f>Z29/1000</f>
        <v>1730759.888</v>
      </c>
      <c r="K29" s="1460">
        <f>AB29/1000</f>
        <v>5757576.8229999999</v>
      </c>
      <c r="L29" s="1460">
        <f>AD29/1000</f>
        <v>943745.95</v>
      </c>
      <c r="M29" s="1460">
        <f>AF29/1000</f>
        <v>6351412.1799999997</v>
      </c>
      <c r="N29" s="743"/>
      <c r="P29" s="1570">
        <v>18699647407</v>
      </c>
      <c r="Q29" s="1568" t="s">
        <v>433</v>
      </c>
      <c r="R29" s="1570">
        <v>16363946360</v>
      </c>
      <c r="S29" s="1568" t="s">
        <v>433</v>
      </c>
      <c r="T29" s="1570">
        <v>560811630</v>
      </c>
      <c r="U29" s="1568" t="s">
        <v>433</v>
      </c>
      <c r="V29" s="1570">
        <v>715613637</v>
      </c>
      <c r="W29" s="1568" t="s">
        <v>433</v>
      </c>
      <c r="X29" s="1570">
        <v>2639727299</v>
      </c>
      <c r="Y29" s="1568" t="s">
        <v>433</v>
      </c>
      <c r="Z29" s="1570">
        <v>1730759888</v>
      </c>
      <c r="AA29" s="1568" t="s">
        <v>433</v>
      </c>
      <c r="AB29" s="1570">
        <v>5757576823</v>
      </c>
      <c r="AC29" s="1568" t="s">
        <v>433</v>
      </c>
      <c r="AD29" s="1570">
        <v>943745950</v>
      </c>
      <c r="AE29" s="1568" t="s">
        <v>433</v>
      </c>
      <c r="AF29" s="1570">
        <v>6351412180</v>
      </c>
      <c r="AG29" s="1568" t="s">
        <v>433</v>
      </c>
    </row>
    <row r="30" spans="1:33" ht="22.5" customHeight="1">
      <c r="A30" s="1994"/>
      <c r="B30" s="2023"/>
      <c r="C30" s="1156" t="s">
        <v>189</v>
      </c>
      <c r="D30" s="1157" t="s">
        <v>176</v>
      </c>
      <c r="E30" s="1466">
        <f t="shared" ref="E30:M30" si="4">IF(ISERR(E29/E27),"－",E29/E27*1000)</f>
        <v>96511.320459753508</v>
      </c>
      <c r="F30" s="1466">
        <f t="shared" si="4"/>
        <v>135486.68526813434</v>
      </c>
      <c r="G30" s="1466">
        <f t="shared" si="4"/>
        <v>36088.264478764482</v>
      </c>
      <c r="H30" s="1466">
        <f t="shared" si="4"/>
        <v>17762.451275814135</v>
      </c>
      <c r="I30" s="1466">
        <f t="shared" si="4"/>
        <v>119813.33056463326</v>
      </c>
      <c r="J30" s="1466">
        <f t="shared" si="4"/>
        <v>84406.724603755181</v>
      </c>
      <c r="K30" s="1466">
        <f t="shared" si="4"/>
        <v>157190.58706454077</v>
      </c>
      <c r="L30" s="1466">
        <f t="shared" si="4"/>
        <v>47828.195317251164</v>
      </c>
      <c r="M30" s="1466">
        <f t="shared" si="4"/>
        <v>162727.37516333172</v>
      </c>
      <c r="N30" s="743"/>
      <c r="P30" s="1568" t="s">
        <v>433</v>
      </c>
      <c r="Q30" s="1568" t="s">
        <v>433</v>
      </c>
      <c r="R30" s="1568" t="s">
        <v>433</v>
      </c>
      <c r="S30" s="1568" t="s">
        <v>433</v>
      </c>
      <c r="T30" s="1568" t="s">
        <v>433</v>
      </c>
      <c r="U30" s="1568" t="s">
        <v>433</v>
      </c>
      <c r="V30" s="1568" t="s">
        <v>433</v>
      </c>
      <c r="W30" s="1568" t="s">
        <v>433</v>
      </c>
      <c r="X30" s="1568" t="s">
        <v>433</v>
      </c>
      <c r="Y30" s="1568" t="s">
        <v>433</v>
      </c>
      <c r="Z30" s="1568" t="s">
        <v>433</v>
      </c>
      <c r="AA30" s="1568" t="s">
        <v>433</v>
      </c>
      <c r="AB30" s="1568" t="s">
        <v>433</v>
      </c>
      <c r="AC30" s="1568" t="s">
        <v>433</v>
      </c>
      <c r="AD30" s="1568" t="s">
        <v>433</v>
      </c>
      <c r="AE30" s="1568" t="s">
        <v>433</v>
      </c>
      <c r="AF30" s="1568" t="s">
        <v>433</v>
      </c>
      <c r="AG30" s="1568" t="s">
        <v>433</v>
      </c>
    </row>
    <row r="31" spans="1:33" ht="40.5" customHeight="1">
      <c r="C31" s="748"/>
      <c r="D31" s="747"/>
    </row>
    <row r="99" spans="8:8">
      <c r="H99" s="742"/>
    </row>
  </sheetData>
  <mergeCells count="17">
    <mergeCell ref="A26:B30"/>
    <mergeCell ref="X3:AE3"/>
    <mergeCell ref="T3:W3"/>
    <mergeCell ref="B17:B20"/>
    <mergeCell ref="A6:B10"/>
    <mergeCell ref="A11:B15"/>
    <mergeCell ref="Z4:AA4"/>
    <mergeCell ref="AB4:AC4"/>
    <mergeCell ref="AD4:AE4"/>
    <mergeCell ref="A3:D5"/>
    <mergeCell ref="B21:B25"/>
    <mergeCell ref="AF4:AG4"/>
    <mergeCell ref="P4:Q4"/>
    <mergeCell ref="R4:S4"/>
    <mergeCell ref="T4:U4"/>
    <mergeCell ref="V4:W4"/>
    <mergeCell ref="X4:Y4"/>
  </mergeCells>
  <phoneticPr fontId="27"/>
  <printOptions gridLinesSet="0"/>
  <pageMargins left="0.98425196850393704" right="0.78740157480314965" top="0.78740157480314965" bottom="0.59055118110236227" header="0" footer="0.39370078740157483"/>
  <pageSetup paperSize="9" scale="79" firstPageNumber="44" orientation="landscape" useFirstPageNumber="1" r:id="rId1"/>
  <headerFooter alignWithMargins="0"/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D80"/>
  <sheetViews>
    <sheetView showGridLines="0" view="pageBreakPreview" zoomScaleNormal="100" zoomScaleSheetLayoutView="100" workbookViewId="0"/>
  </sheetViews>
  <sheetFormatPr defaultColWidth="9" defaultRowHeight="12"/>
  <cols>
    <col min="1" max="2" width="2.33203125" style="1" customWidth="1" collapsed="1"/>
    <col min="3" max="3" width="11.6640625" style="15" customWidth="1" collapsed="1"/>
    <col min="4" max="4" width="3.88671875" style="1" customWidth="1" collapsed="1"/>
    <col min="5" max="8" width="10.44140625" style="1" customWidth="1" collapsed="1"/>
    <col min="9" max="9" width="10.44140625" style="8" customWidth="1" collapsed="1"/>
    <col min="10" max="12" width="10.44140625" style="1" customWidth="1" collapsed="1"/>
    <col min="13" max="13" width="1.21875" style="1" customWidth="1" collapsed="1"/>
    <col min="14" max="14" width="9" style="1" collapsed="1"/>
    <col min="15" max="30" width="11.33203125" style="1" hidden="1" customWidth="1" collapsed="1"/>
    <col min="31" max="16384" width="9" style="1" collapsed="1"/>
  </cols>
  <sheetData>
    <row r="1" spans="1:30" s="22" customFormat="1" ht="24" customHeight="1">
      <c r="A1" s="22" t="s">
        <v>560</v>
      </c>
      <c r="C1" s="754"/>
      <c r="I1" s="605"/>
    </row>
    <row r="2" spans="1:30" s="22" customFormat="1" ht="24" customHeight="1">
      <c r="A2" s="757" t="s">
        <v>177</v>
      </c>
      <c r="B2" s="757"/>
      <c r="C2" s="754"/>
      <c r="I2" s="605"/>
      <c r="O2" s="1472" t="s">
        <v>934</v>
      </c>
      <c r="P2" s="2056"/>
      <c r="Q2" s="2056"/>
      <c r="R2" s="819"/>
      <c r="S2" s="1117"/>
      <c r="T2" s="819"/>
      <c r="U2" s="819"/>
      <c r="V2" s="819"/>
      <c r="W2" s="1472" t="s">
        <v>415</v>
      </c>
      <c r="X2" s="2056"/>
      <c r="Y2" s="2056"/>
      <c r="Z2" s="819"/>
      <c r="AA2" s="1117"/>
      <c r="AB2" s="819"/>
      <c r="AC2" s="819"/>
      <c r="AD2" s="819"/>
    </row>
    <row r="3" spans="1:30" s="69" customFormat="1" ht="21" customHeight="1">
      <c r="A3" s="2057" t="s">
        <v>182</v>
      </c>
      <c r="B3" s="2057"/>
      <c r="C3" s="2057"/>
      <c r="D3" s="2057"/>
      <c r="E3" s="888"/>
      <c r="F3" s="2057" t="s">
        <v>190</v>
      </c>
      <c r="G3" s="2057"/>
      <c r="H3" s="891"/>
      <c r="I3" s="974" t="s">
        <v>191</v>
      </c>
      <c r="J3" s="892"/>
      <c r="K3" s="893"/>
      <c r="L3" s="888"/>
      <c r="O3" s="1400"/>
      <c r="P3" s="2057" t="s">
        <v>190</v>
      </c>
      <c r="Q3" s="2057"/>
      <c r="R3" s="1402"/>
      <c r="S3" s="974" t="s">
        <v>191</v>
      </c>
      <c r="T3" s="1403"/>
      <c r="U3" s="1404"/>
      <c r="V3" s="1400"/>
      <c r="W3" s="1400"/>
      <c r="X3" s="2057" t="s">
        <v>190</v>
      </c>
      <c r="Y3" s="2057"/>
      <c r="Z3" s="1402"/>
      <c r="AA3" s="974" t="s">
        <v>191</v>
      </c>
      <c r="AB3" s="1403"/>
      <c r="AC3" s="1404"/>
      <c r="AD3" s="1400"/>
    </row>
    <row r="4" spans="1:30" s="69" customFormat="1" ht="21" customHeight="1">
      <c r="A4" s="2057"/>
      <c r="B4" s="2057"/>
      <c r="C4" s="2057"/>
      <c r="D4" s="2057"/>
      <c r="E4" s="890" t="s">
        <v>192</v>
      </c>
      <c r="F4" s="888"/>
      <c r="G4" s="888"/>
      <c r="H4" s="890"/>
      <c r="I4" s="890"/>
      <c r="J4" s="890"/>
      <c r="K4" s="890"/>
      <c r="L4" s="975" t="s">
        <v>183</v>
      </c>
      <c r="O4" s="1406" t="s">
        <v>192</v>
      </c>
      <c r="P4" s="975" t="s">
        <v>184</v>
      </c>
      <c r="Q4" s="975" t="s">
        <v>98</v>
      </c>
      <c r="R4" s="975" t="s">
        <v>184</v>
      </c>
      <c r="S4" s="975" t="s">
        <v>185</v>
      </c>
      <c r="T4" s="975" t="s">
        <v>186</v>
      </c>
      <c r="U4" s="975" t="s">
        <v>98</v>
      </c>
      <c r="V4" s="975" t="s">
        <v>183</v>
      </c>
      <c r="W4" s="1406" t="s">
        <v>192</v>
      </c>
      <c r="X4" s="975" t="s">
        <v>184</v>
      </c>
      <c r="Y4" s="975" t="s">
        <v>98</v>
      </c>
      <c r="Z4" s="975" t="s">
        <v>184</v>
      </c>
      <c r="AA4" s="975" t="s">
        <v>185</v>
      </c>
      <c r="AB4" s="975" t="s">
        <v>186</v>
      </c>
      <c r="AC4" s="975" t="s">
        <v>98</v>
      </c>
      <c r="AD4" s="975" t="s">
        <v>183</v>
      </c>
    </row>
    <row r="5" spans="1:30" s="69" customFormat="1" ht="21" customHeight="1">
      <c r="A5" s="2057"/>
      <c r="B5" s="2057"/>
      <c r="C5" s="2057"/>
      <c r="D5" s="2057"/>
      <c r="E5" s="976"/>
      <c r="F5" s="977" t="s">
        <v>184</v>
      </c>
      <c r="G5" s="977" t="s">
        <v>98</v>
      </c>
      <c r="H5" s="975" t="s">
        <v>184</v>
      </c>
      <c r="I5" s="975" t="s">
        <v>185</v>
      </c>
      <c r="J5" s="975" t="s">
        <v>186</v>
      </c>
      <c r="K5" s="975" t="s">
        <v>98</v>
      </c>
      <c r="L5" s="976"/>
      <c r="O5" s="1473" t="s">
        <v>979</v>
      </c>
      <c r="P5" s="1473" t="s">
        <v>980</v>
      </c>
      <c r="Q5" s="1473" t="s">
        <v>981</v>
      </c>
      <c r="R5" s="1473" t="s">
        <v>982</v>
      </c>
      <c r="S5" s="1473" t="s">
        <v>983</v>
      </c>
      <c r="T5" s="1473" t="s">
        <v>984</v>
      </c>
      <c r="U5" s="1473" t="s">
        <v>985</v>
      </c>
      <c r="V5" s="1473" t="s">
        <v>986</v>
      </c>
      <c r="W5" s="1473" t="s">
        <v>987</v>
      </c>
      <c r="X5" s="1473" t="s">
        <v>988</v>
      </c>
      <c r="Y5" s="1473" t="s">
        <v>989</v>
      </c>
      <c r="Z5" s="1473" t="s">
        <v>990</v>
      </c>
      <c r="AA5" s="1473" t="s">
        <v>991</v>
      </c>
      <c r="AB5" s="1473" t="s">
        <v>992</v>
      </c>
      <c r="AC5" s="1473" t="s">
        <v>993</v>
      </c>
      <c r="AD5" s="1473" t="s">
        <v>994</v>
      </c>
    </row>
    <row r="6" spans="1:30" ht="22.5" customHeight="1">
      <c r="A6" s="2024" t="s">
        <v>594</v>
      </c>
      <c r="B6" s="2058"/>
      <c r="C6" s="978" t="s">
        <v>978</v>
      </c>
      <c r="D6" s="981" t="s">
        <v>180</v>
      </c>
      <c r="E6" s="1478">
        <f>O6</f>
        <v>1428211</v>
      </c>
      <c r="F6" s="1478">
        <f t="shared" ref="F6:L6" si="0">P6</f>
        <v>92016</v>
      </c>
      <c r="G6" s="1478">
        <f t="shared" si="0"/>
        <v>643160</v>
      </c>
      <c r="H6" s="1478">
        <f t="shared" si="0"/>
        <v>66745</v>
      </c>
      <c r="I6" s="1478">
        <f t="shared" si="0"/>
        <v>123815</v>
      </c>
      <c r="J6" s="1478">
        <f t="shared" si="0"/>
        <v>132248</v>
      </c>
      <c r="K6" s="1478">
        <f t="shared" si="0"/>
        <v>236679</v>
      </c>
      <c r="L6" s="1478">
        <f t="shared" si="0"/>
        <v>133548</v>
      </c>
      <c r="M6" s="71"/>
      <c r="O6" s="1651">
        <v>1428211</v>
      </c>
      <c r="P6" s="1651">
        <v>92016</v>
      </c>
      <c r="Q6" s="1651">
        <v>643160</v>
      </c>
      <c r="R6" s="1651">
        <v>66745</v>
      </c>
      <c r="S6" s="1651">
        <v>123815</v>
      </c>
      <c r="T6" s="1651">
        <v>132248</v>
      </c>
      <c r="U6" s="1651">
        <v>236679</v>
      </c>
      <c r="V6" s="1651">
        <v>133548</v>
      </c>
      <c r="W6" s="1569" t="s">
        <v>433</v>
      </c>
      <c r="X6" s="1569" t="s">
        <v>433</v>
      </c>
      <c r="Y6" s="1569" t="s">
        <v>433</v>
      </c>
      <c r="Z6" s="1569" t="s">
        <v>433</v>
      </c>
      <c r="AA6" s="1569" t="s">
        <v>433</v>
      </c>
      <c r="AB6" s="1569" t="s">
        <v>433</v>
      </c>
      <c r="AC6" s="1569" t="s">
        <v>433</v>
      </c>
      <c r="AD6" s="1569" t="s">
        <v>433</v>
      </c>
    </row>
    <row r="7" spans="1:30" ht="22.5" customHeight="1">
      <c r="A7" s="1993"/>
      <c r="B7" s="2022"/>
      <c r="C7" s="979" t="s">
        <v>415</v>
      </c>
      <c r="D7" s="982" t="s">
        <v>154</v>
      </c>
      <c r="E7" s="1479">
        <f>W7 /1000</f>
        <v>63748149.493000001</v>
      </c>
      <c r="F7" s="1479">
        <f t="shared" ref="F7:L7" si="1">X7 /1000</f>
        <v>2023264.841</v>
      </c>
      <c r="G7" s="1479">
        <f t="shared" si="1"/>
        <v>5679198.7350000003</v>
      </c>
      <c r="H7" s="1479">
        <f t="shared" si="1"/>
        <v>6643693.7249999996</v>
      </c>
      <c r="I7" s="1479">
        <f t="shared" si="1"/>
        <v>8909273.7190000005</v>
      </c>
      <c r="J7" s="1479">
        <f t="shared" si="1"/>
        <v>18508545.850000001</v>
      </c>
      <c r="K7" s="1479">
        <f t="shared" si="1"/>
        <v>7210552.091</v>
      </c>
      <c r="L7" s="1479">
        <f t="shared" si="1"/>
        <v>14773620.532</v>
      </c>
      <c r="M7" s="71"/>
      <c r="O7" s="1569" t="s">
        <v>433</v>
      </c>
      <c r="P7" s="1569" t="s">
        <v>433</v>
      </c>
      <c r="Q7" s="1569" t="s">
        <v>433</v>
      </c>
      <c r="R7" s="1569" t="s">
        <v>433</v>
      </c>
      <c r="S7" s="1569" t="s">
        <v>433</v>
      </c>
      <c r="T7" s="1569" t="s">
        <v>433</v>
      </c>
      <c r="U7" s="1569" t="s">
        <v>433</v>
      </c>
      <c r="V7" s="1569" t="s">
        <v>433</v>
      </c>
      <c r="W7" s="1651">
        <v>63748149493</v>
      </c>
      <c r="X7" s="1651">
        <v>2023264841</v>
      </c>
      <c r="Y7" s="1651">
        <v>5679198735</v>
      </c>
      <c r="Z7" s="1651">
        <v>6643693725</v>
      </c>
      <c r="AA7" s="1651">
        <v>8909273719</v>
      </c>
      <c r="AB7" s="1651">
        <v>18508545850</v>
      </c>
      <c r="AC7" s="1651">
        <v>7210552091</v>
      </c>
      <c r="AD7" s="1651">
        <v>14773620532</v>
      </c>
    </row>
    <row r="8" spans="1:30" ht="22.5" customHeight="1" thickBot="1">
      <c r="A8" s="2027"/>
      <c r="B8" s="2048"/>
      <c r="C8" s="1159" t="s">
        <v>189</v>
      </c>
      <c r="D8" s="1160" t="s">
        <v>176</v>
      </c>
      <c r="E8" s="1467">
        <f t="shared" ref="E8:L8" si="2">IF(ISERR(E7/E6),"－",E7/E6*1000)</f>
        <v>44634.966047033668</v>
      </c>
      <c r="F8" s="1467">
        <f t="shared" si="2"/>
        <v>21988.185109111459</v>
      </c>
      <c r="G8" s="1467">
        <f t="shared" si="2"/>
        <v>8830.1491619503704</v>
      </c>
      <c r="H8" s="1467">
        <f t="shared" si="2"/>
        <v>99538.44819836691</v>
      </c>
      <c r="I8" s="1467">
        <f t="shared" si="2"/>
        <v>71956.335815531245</v>
      </c>
      <c r="J8" s="1467">
        <f t="shared" si="2"/>
        <v>139953.31384973688</v>
      </c>
      <c r="K8" s="1467">
        <f t="shared" si="2"/>
        <v>30465.533870770116</v>
      </c>
      <c r="L8" s="1467">
        <f t="shared" si="2"/>
        <v>110624.04927067421</v>
      </c>
      <c r="M8" s="71"/>
      <c r="O8" s="1569" t="s">
        <v>433</v>
      </c>
      <c r="P8" s="1569" t="s">
        <v>433</v>
      </c>
      <c r="Q8" s="1569" t="s">
        <v>433</v>
      </c>
      <c r="R8" s="1569" t="s">
        <v>433</v>
      </c>
      <c r="S8" s="1569" t="s">
        <v>433</v>
      </c>
      <c r="T8" s="1569" t="s">
        <v>433</v>
      </c>
      <c r="U8" s="1569" t="s">
        <v>433</v>
      </c>
      <c r="V8" s="1569" t="s">
        <v>433</v>
      </c>
      <c r="W8" s="1569" t="s">
        <v>433</v>
      </c>
      <c r="X8" s="1569" t="s">
        <v>433</v>
      </c>
      <c r="Y8" s="1569" t="s">
        <v>433</v>
      </c>
      <c r="Z8" s="1569" t="s">
        <v>433</v>
      </c>
      <c r="AA8" s="1569" t="s">
        <v>433</v>
      </c>
      <c r="AB8" s="1569" t="s">
        <v>433</v>
      </c>
      <c r="AC8" s="1569" t="s">
        <v>433</v>
      </c>
      <c r="AD8" s="1569" t="s">
        <v>433</v>
      </c>
    </row>
    <row r="9" spans="1:30" ht="22.5" customHeight="1" thickTop="1">
      <c r="A9" s="1993" t="s">
        <v>589</v>
      </c>
      <c r="B9" s="2022"/>
      <c r="C9" s="979" t="s">
        <v>187</v>
      </c>
      <c r="D9" s="1158" t="s">
        <v>180</v>
      </c>
      <c r="E9" s="1480">
        <f>O9</f>
        <v>1328380</v>
      </c>
      <c r="F9" s="1481">
        <f t="shared" ref="F9" si="3">P9</f>
        <v>83283</v>
      </c>
      <c r="G9" s="1481">
        <f t="shared" ref="G9" si="4">Q9</f>
        <v>608229</v>
      </c>
      <c r="H9" s="1481">
        <f t="shared" ref="H9" si="5">R9</f>
        <v>58956</v>
      </c>
      <c r="I9" s="1481">
        <f t="shared" ref="I9" si="6">S9</f>
        <v>115678</v>
      </c>
      <c r="J9" s="1481">
        <f t="shared" ref="J9" si="7">T9</f>
        <v>118470</v>
      </c>
      <c r="K9" s="1481">
        <f t="shared" ref="K9" si="8">U9</f>
        <v>221915</v>
      </c>
      <c r="L9" s="1481">
        <f t="shared" ref="L9" si="9">V9</f>
        <v>121849</v>
      </c>
      <c r="M9" s="71"/>
      <c r="O9" s="1651">
        <v>1328380</v>
      </c>
      <c r="P9" s="1651">
        <v>83283</v>
      </c>
      <c r="Q9" s="1651">
        <v>608229</v>
      </c>
      <c r="R9" s="1651">
        <v>58956</v>
      </c>
      <c r="S9" s="1651">
        <v>115678</v>
      </c>
      <c r="T9" s="1651">
        <v>118470</v>
      </c>
      <c r="U9" s="1651">
        <v>221915</v>
      </c>
      <c r="V9" s="1651">
        <v>121849</v>
      </c>
      <c r="W9" s="1569" t="s">
        <v>433</v>
      </c>
      <c r="X9" s="1569" t="s">
        <v>433</v>
      </c>
      <c r="Y9" s="1569" t="s">
        <v>433</v>
      </c>
      <c r="Z9" s="1569" t="s">
        <v>433</v>
      </c>
      <c r="AA9" s="1569" t="s">
        <v>433</v>
      </c>
      <c r="AB9" s="1569" t="s">
        <v>433</v>
      </c>
      <c r="AC9" s="1569" t="s">
        <v>433</v>
      </c>
      <c r="AD9" s="1569" t="s">
        <v>433</v>
      </c>
    </row>
    <row r="10" spans="1:30" ht="22.5" customHeight="1">
      <c r="A10" s="1993"/>
      <c r="B10" s="2022"/>
      <c r="C10" s="979" t="s">
        <v>188</v>
      </c>
      <c r="D10" s="982" t="s">
        <v>154</v>
      </c>
      <c r="E10" s="1479">
        <f>W10 /1000</f>
        <v>57047085.858999997</v>
      </c>
      <c r="F10" s="1482">
        <f t="shared" ref="F10" si="10">X10 /1000</f>
        <v>1766274.054</v>
      </c>
      <c r="G10" s="1482">
        <f t="shared" ref="G10" si="11">Y10 /1000</f>
        <v>5244831.2920000004</v>
      </c>
      <c r="H10" s="1482">
        <f t="shared" ref="H10" si="12">Z10 /1000</f>
        <v>5748657.8930000002</v>
      </c>
      <c r="I10" s="1482">
        <f t="shared" ref="I10" si="13">AA10 /1000</f>
        <v>8240761.8449999997</v>
      </c>
      <c r="J10" s="1482">
        <f t="shared" ref="J10" si="14">AB10 /1000</f>
        <v>16284362.141000001</v>
      </c>
      <c r="K10" s="1482">
        <f t="shared" ref="K10" si="15">AC10 /1000</f>
        <v>6633849.7400000002</v>
      </c>
      <c r="L10" s="1482">
        <f t="shared" ref="L10" si="16">AD10 /1000</f>
        <v>13128348.893999999</v>
      </c>
      <c r="M10" s="71"/>
      <c r="O10" s="1569" t="s">
        <v>433</v>
      </c>
      <c r="P10" s="1569" t="s">
        <v>433</v>
      </c>
      <c r="Q10" s="1569" t="s">
        <v>433</v>
      </c>
      <c r="R10" s="1569" t="s">
        <v>433</v>
      </c>
      <c r="S10" s="1569" t="s">
        <v>433</v>
      </c>
      <c r="T10" s="1569" t="s">
        <v>433</v>
      </c>
      <c r="U10" s="1569" t="s">
        <v>433</v>
      </c>
      <c r="V10" s="1569" t="s">
        <v>433</v>
      </c>
      <c r="W10" s="1651">
        <v>57047085859</v>
      </c>
      <c r="X10" s="1651">
        <v>1766274054</v>
      </c>
      <c r="Y10" s="1651">
        <v>5244831292</v>
      </c>
      <c r="Z10" s="1651">
        <v>5748657893</v>
      </c>
      <c r="AA10" s="1651">
        <v>8240761845</v>
      </c>
      <c r="AB10" s="1651">
        <v>16284362141</v>
      </c>
      <c r="AC10" s="1651">
        <v>6633849740</v>
      </c>
      <c r="AD10" s="1651">
        <v>13128348894</v>
      </c>
    </row>
    <row r="11" spans="1:30" ht="22.5" customHeight="1">
      <c r="A11" s="1993"/>
      <c r="B11" s="2023"/>
      <c r="C11" s="980" t="s">
        <v>189</v>
      </c>
      <c r="D11" s="983" t="s">
        <v>176</v>
      </c>
      <c r="E11" s="1468">
        <f t="shared" ref="E11:L11" si="17">IF(ISERR(E10/E9),"－",E10/E9*1000)</f>
        <v>42944.85452882458</v>
      </c>
      <c r="F11" s="1468">
        <f t="shared" si="17"/>
        <v>21208.098339396998</v>
      </c>
      <c r="G11" s="1468">
        <f t="shared" si="17"/>
        <v>8623.1194040402552</v>
      </c>
      <c r="H11" s="1468">
        <f t="shared" si="17"/>
        <v>97507.597072392964</v>
      </c>
      <c r="I11" s="1468">
        <f t="shared" si="17"/>
        <v>71238.799469216276</v>
      </c>
      <c r="J11" s="1468">
        <f t="shared" si="17"/>
        <v>137455.57644129315</v>
      </c>
      <c r="K11" s="1468">
        <f t="shared" si="17"/>
        <v>29893.651803618504</v>
      </c>
      <c r="L11" s="1468">
        <f t="shared" si="17"/>
        <v>107742.7709213863</v>
      </c>
      <c r="M11" s="71"/>
      <c r="O11" s="1569" t="s">
        <v>433</v>
      </c>
      <c r="P11" s="1569" t="s">
        <v>433</v>
      </c>
      <c r="Q11" s="1569" t="s">
        <v>433</v>
      </c>
      <c r="R11" s="1569" t="s">
        <v>433</v>
      </c>
      <c r="S11" s="1569" t="s">
        <v>433</v>
      </c>
      <c r="T11" s="1569" t="s">
        <v>433</v>
      </c>
      <c r="U11" s="1569" t="s">
        <v>433</v>
      </c>
      <c r="V11" s="1569" t="s">
        <v>433</v>
      </c>
      <c r="W11" s="1569" t="s">
        <v>433</v>
      </c>
      <c r="X11" s="1569" t="s">
        <v>433</v>
      </c>
      <c r="Y11" s="1569" t="s">
        <v>433</v>
      </c>
      <c r="Z11" s="1569" t="s">
        <v>433</v>
      </c>
      <c r="AA11" s="1569" t="s">
        <v>433</v>
      </c>
      <c r="AB11" s="1569" t="s">
        <v>433</v>
      </c>
      <c r="AC11" s="1569" t="s">
        <v>433</v>
      </c>
      <c r="AD11" s="1569" t="s">
        <v>433</v>
      </c>
    </row>
    <row r="12" spans="1:30" ht="22.5" customHeight="1">
      <c r="A12" s="1145"/>
      <c r="B12" s="2059" t="s">
        <v>590</v>
      </c>
      <c r="C12" s="978" t="s">
        <v>187</v>
      </c>
      <c r="D12" s="981" t="s">
        <v>180</v>
      </c>
      <c r="E12" s="1478">
        <f>O12</f>
        <v>882884</v>
      </c>
      <c r="F12" s="1483">
        <f t="shared" ref="F12" si="18">P12</f>
        <v>57332</v>
      </c>
      <c r="G12" s="1483">
        <f t="shared" ref="G12" si="19">Q12</f>
        <v>410595</v>
      </c>
      <c r="H12" s="1483">
        <f t="shared" ref="H12" si="20">R12</f>
        <v>38047</v>
      </c>
      <c r="I12" s="1483">
        <f t="shared" ref="I12" si="21">S12</f>
        <v>76336</v>
      </c>
      <c r="J12" s="1483">
        <f t="shared" ref="J12" si="22">T12</f>
        <v>75010</v>
      </c>
      <c r="K12" s="1483">
        <f t="shared" ref="K12" si="23">U12</f>
        <v>144961</v>
      </c>
      <c r="L12" s="1483">
        <f t="shared" ref="L12" si="24">V12</f>
        <v>80603</v>
      </c>
      <c r="M12" s="71"/>
      <c r="O12" s="1651">
        <v>882884</v>
      </c>
      <c r="P12" s="1651">
        <v>57332</v>
      </c>
      <c r="Q12" s="1651">
        <v>410595</v>
      </c>
      <c r="R12" s="1651">
        <v>38047</v>
      </c>
      <c r="S12" s="1651">
        <v>76336</v>
      </c>
      <c r="T12" s="1651">
        <v>75010</v>
      </c>
      <c r="U12" s="1651">
        <v>144961</v>
      </c>
      <c r="V12" s="1651">
        <v>80603</v>
      </c>
      <c r="W12" s="1569" t="s">
        <v>433</v>
      </c>
      <c r="X12" s="1569" t="s">
        <v>433</v>
      </c>
      <c r="Y12" s="1569" t="s">
        <v>433</v>
      </c>
      <c r="Z12" s="1569" t="s">
        <v>433</v>
      </c>
      <c r="AA12" s="1569" t="s">
        <v>433</v>
      </c>
      <c r="AB12" s="1569" t="s">
        <v>433</v>
      </c>
      <c r="AC12" s="1569" t="s">
        <v>433</v>
      </c>
      <c r="AD12" s="1569" t="s">
        <v>433</v>
      </c>
    </row>
    <row r="13" spans="1:30" ht="22.5" customHeight="1">
      <c r="A13" s="1145"/>
      <c r="B13" s="2020"/>
      <c r="C13" s="979" t="s">
        <v>188</v>
      </c>
      <c r="D13" s="982" t="s">
        <v>154</v>
      </c>
      <c r="E13" s="1479">
        <f t="shared" ref="E13:L13" si="25">W13 /1000</f>
        <v>37842451.053999998</v>
      </c>
      <c r="F13" s="1482">
        <f t="shared" si="25"/>
        <v>1200951.6159999999</v>
      </c>
      <c r="G13" s="1482">
        <f t="shared" si="25"/>
        <v>3540368.4270000001</v>
      </c>
      <c r="H13" s="1482">
        <f t="shared" si="25"/>
        <v>3814659.2919999999</v>
      </c>
      <c r="I13" s="1482">
        <f t="shared" si="25"/>
        <v>5600590.8399999999</v>
      </c>
      <c r="J13" s="1482">
        <f t="shared" si="25"/>
        <v>10620020.472999999</v>
      </c>
      <c r="K13" s="1482">
        <f t="shared" si="25"/>
        <v>4291452.38</v>
      </c>
      <c r="L13" s="1482">
        <f t="shared" si="25"/>
        <v>8774408.0260000005</v>
      </c>
      <c r="M13" s="71"/>
      <c r="O13" s="1569" t="s">
        <v>433</v>
      </c>
      <c r="P13" s="1569" t="s">
        <v>433</v>
      </c>
      <c r="Q13" s="1569" t="s">
        <v>433</v>
      </c>
      <c r="R13" s="1569" t="s">
        <v>433</v>
      </c>
      <c r="S13" s="1569" t="s">
        <v>433</v>
      </c>
      <c r="T13" s="1569" t="s">
        <v>433</v>
      </c>
      <c r="U13" s="1569" t="s">
        <v>433</v>
      </c>
      <c r="V13" s="1569" t="s">
        <v>433</v>
      </c>
      <c r="W13" s="1651">
        <v>37842451054</v>
      </c>
      <c r="X13" s="1651">
        <v>1200951616</v>
      </c>
      <c r="Y13" s="1651">
        <v>3540368427</v>
      </c>
      <c r="Z13" s="1651">
        <v>3814659292</v>
      </c>
      <c r="AA13" s="1651">
        <v>5600590840</v>
      </c>
      <c r="AB13" s="1651">
        <v>10620020473</v>
      </c>
      <c r="AC13" s="1651">
        <v>4291452380</v>
      </c>
      <c r="AD13" s="1651">
        <v>8774408026</v>
      </c>
    </row>
    <row r="14" spans="1:30" ht="22.5" customHeight="1">
      <c r="A14" s="1145"/>
      <c r="B14" s="2021"/>
      <c r="C14" s="980" t="s">
        <v>189</v>
      </c>
      <c r="D14" s="983" t="s">
        <v>176</v>
      </c>
      <c r="E14" s="1468">
        <f t="shared" ref="E14:L14" si="26">IF(ISERR(E13/E12),"－",E13/E12*1000)</f>
        <v>42862.313796602946</v>
      </c>
      <c r="F14" s="1468">
        <f t="shared" si="26"/>
        <v>20947.317658550197</v>
      </c>
      <c r="G14" s="1468">
        <f t="shared" si="26"/>
        <v>8622.5317575713307</v>
      </c>
      <c r="H14" s="1468">
        <f t="shared" si="26"/>
        <v>100261.76287223697</v>
      </c>
      <c r="I14" s="1468">
        <f t="shared" si="26"/>
        <v>73367.622615803804</v>
      </c>
      <c r="J14" s="1468">
        <f t="shared" si="26"/>
        <v>141581.39545393948</v>
      </c>
      <c r="K14" s="1468">
        <f t="shared" si="26"/>
        <v>29604.185815495202</v>
      </c>
      <c r="L14" s="1468">
        <f t="shared" si="26"/>
        <v>108859.57130627893</v>
      </c>
      <c r="M14" s="71"/>
      <c r="O14" s="1569" t="s">
        <v>433</v>
      </c>
      <c r="P14" s="1569" t="s">
        <v>433</v>
      </c>
      <c r="Q14" s="1569" t="s">
        <v>433</v>
      </c>
      <c r="R14" s="1569" t="s">
        <v>433</v>
      </c>
      <c r="S14" s="1569" t="s">
        <v>433</v>
      </c>
      <c r="T14" s="1569" t="s">
        <v>433</v>
      </c>
      <c r="U14" s="1569" t="s">
        <v>433</v>
      </c>
      <c r="V14" s="1569" t="s">
        <v>433</v>
      </c>
      <c r="W14" s="1569" t="s">
        <v>433</v>
      </c>
      <c r="X14" s="1569" t="s">
        <v>433</v>
      </c>
      <c r="Y14" s="1569" t="s">
        <v>433</v>
      </c>
      <c r="Z14" s="1569" t="s">
        <v>433</v>
      </c>
      <c r="AA14" s="1569" t="s">
        <v>433</v>
      </c>
      <c r="AB14" s="1569" t="s">
        <v>433</v>
      </c>
      <c r="AC14" s="1569" t="s">
        <v>433</v>
      </c>
      <c r="AD14" s="1569" t="s">
        <v>433</v>
      </c>
    </row>
    <row r="15" spans="1:30" ht="22.5" customHeight="1">
      <c r="A15" s="1145"/>
      <c r="B15" s="2020" t="s">
        <v>591</v>
      </c>
      <c r="C15" s="978" t="s">
        <v>187</v>
      </c>
      <c r="D15" s="981" t="s">
        <v>180</v>
      </c>
      <c r="E15" s="1478">
        <f>O15</f>
        <v>445496</v>
      </c>
      <c r="F15" s="1483">
        <f t="shared" ref="F15" si="27">P15</f>
        <v>25951</v>
      </c>
      <c r="G15" s="1483">
        <f t="shared" ref="G15" si="28">Q15</f>
        <v>197634</v>
      </c>
      <c r="H15" s="1483">
        <f t="shared" ref="H15" si="29">R15</f>
        <v>20909</v>
      </c>
      <c r="I15" s="1483">
        <f t="shared" ref="I15" si="30">S15</f>
        <v>39342</v>
      </c>
      <c r="J15" s="1483">
        <f t="shared" ref="J15" si="31">T15</f>
        <v>43460</v>
      </c>
      <c r="K15" s="1483">
        <f t="shared" ref="K15" si="32">U15</f>
        <v>76954</v>
      </c>
      <c r="L15" s="1483">
        <f t="shared" ref="L15" si="33">V15</f>
        <v>41246</v>
      </c>
      <c r="M15" s="71"/>
      <c r="O15" s="1651">
        <v>445496</v>
      </c>
      <c r="P15" s="1651">
        <v>25951</v>
      </c>
      <c r="Q15" s="1651">
        <v>197634</v>
      </c>
      <c r="R15" s="1651">
        <v>20909</v>
      </c>
      <c r="S15" s="1651">
        <v>39342</v>
      </c>
      <c r="T15" s="1651">
        <v>43460</v>
      </c>
      <c r="U15" s="1651">
        <v>76954</v>
      </c>
      <c r="V15" s="1651">
        <v>41246</v>
      </c>
      <c r="W15" s="1569" t="s">
        <v>433</v>
      </c>
      <c r="X15" s="1569" t="s">
        <v>433</v>
      </c>
      <c r="Y15" s="1569" t="s">
        <v>433</v>
      </c>
      <c r="Z15" s="1569" t="s">
        <v>433</v>
      </c>
      <c r="AA15" s="1569" t="s">
        <v>433</v>
      </c>
      <c r="AB15" s="1569" t="s">
        <v>433</v>
      </c>
      <c r="AC15" s="1569" t="s">
        <v>433</v>
      </c>
      <c r="AD15" s="1569" t="s">
        <v>433</v>
      </c>
    </row>
    <row r="16" spans="1:30" ht="22.5" customHeight="1">
      <c r="A16" s="1145"/>
      <c r="B16" s="2020"/>
      <c r="C16" s="979" t="s">
        <v>188</v>
      </c>
      <c r="D16" s="982" t="s">
        <v>154</v>
      </c>
      <c r="E16" s="1479">
        <f t="shared" ref="E16:L16" si="34">W16 /1000</f>
        <v>19204634.805</v>
      </c>
      <c r="F16" s="1482">
        <f t="shared" si="34"/>
        <v>565322.43799999997</v>
      </c>
      <c r="G16" s="1482">
        <f t="shared" si="34"/>
        <v>1704462.865</v>
      </c>
      <c r="H16" s="1482">
        <f t="shared" si="34"/>
        <v>1933998.601</v>
      </c>
      <c r="I16" s="1482">
        <f t="shared" si="34"/>
        <v>2640171.0049999999</v>
      </c>
      <c r="J16" s="1482">
        <f t="shared" si="34"/>
        <v>5664341.6679999996</v>
      </c>
      <c r="K16" s="1482">
        <f t="shared" si="34"/>
        <v>2342397.36</v>
      </c>
      <c r="L16" s="1482">
        <f t="shared" si="34"/>
        <v>4353940.8679999998</v>
      </c>
      <c r="M16" s="71"/>
      <c r="O16" s="1569" t="s">
        <v>433</v>
      </c>
      <c r="P16" s="1569" t="s">
        <v>433</v>
      </c>
      <c r="Q16" s="1569" t="s">
        <v>433</v>
      </c>
      <c r="R16" s="1569" t="s">
        <v>433</v>
      </c>
      <c r="S16" s="1569" t="s">
        <v>433</v>
      </c>
      <c r="T16" s="1569" t="s">
        <v>433</v>
      </c>
      <c r="U16" s="1569" t="s">
        <v>433</v>
      </c>
      <c r="V16" s="1569" t="s">
        <v>433</v>
      </c>
      <c r="W16" s="1651">
        <v>19204634805</v>
      </c>
      <c r="X16" s="1651">
        <v>565322438</v>
      </c>
      <c r="Y16" s="1651">
        <v>1704462865</v>
      </c>
      <c r="Z16" s="1651">
        <v>1933998601</v>
      </c>
      <c r="AA16" s="1651">
        <v>2640171005</v>
      </c>
      <c r="AB16" s="1651">
        <v>5664341668</v>
      </c>
      <c r="AC16" s="1651">
        <v>2342397360</v>
      </c>
      <c r="AD16" s="1651">
        <v>4353940868</v>
      </c>
    </row>
    <row r="17" spans="1:30" ht="22.5" customHeight="1" thickBot="1">
      <c r="A17" s="1147"/>
      <c r="B17" s="2037"/>
      <c r="C17" s="1159" t="s">
        <v>189</v>
      </c>
      <c r="D17" s="1160" t="s">
        <v>176</v>
      </c>
      <c r="E17" s="1476">
        <f t="shared" ref="E17:L17" si="35">IF(ISERR(E16/E15),"－",E16/E15*1000)</f>
        <v>43108.43375698098</v>
      </c>
      <c r="F17" s="1477">
        <f t="shared" si="35"/>
        <v>21784.225578975762</v>
      </c>
      <c r="G17" s="1477">
        <f t="shared" si="35"/>
        <v>8624.3402703988177</v>
      </c>
      <c r="H17" s="1477">
        <f t="shared" si="35"/>
        <v>92495.987421684447</v>
      </c>
      <c r="I17" s="1477">
        <f t="shared" si="35"/>
        <v>67108.205098876511</v>
      </c>
      <c r="J17" s="1477">
        <f t="shared" si="35"/>
        <v>130334.59889553612</v>
      </c>
      <c r="K17" s="1477">
        <f t="shared" si="35"/>
        <v>30438.929230449357</v>
      </c>
      <c r="L17" s="1477">
        <f t="shared" si="35"/>
        <v>105560.31780051399</v>
      </c>
      <c r="M17" s="71"/>
      <c r="O17" s="1569" t="s">
        <v>433</v>
      </c>
      <c r="P17" s="1569" t="s">
        <v>433</v>
      </c>
      <c r="Q17" s="1569" t="s">
        <v>433</v>
      </c>
      <c r="R17" s="1569" t="s">
        <v>433</v>
      </c>
      <c r="S17" s="1569" t="s">
        <v>433</v>
      </c>
      <c r="T17" s="1569" t="s">
        <v>433</v>
      </c>
      <c r="U17" s="1569" t="s">
        <v>433</v>
      </c>
      <c r="V17" s="1569" t="s">
        <v>433</v>
      </c>
      <c r="W17" s="1569" t="s">
        <v>433</v>
      </c>
      <c r="X17" s="1569" t="s">
        <v>433</v>
      </c>
      <c r="Y17" s="1569" t="s">
        <v>433</v>
      </c>
      <c r="Z17" s="1569" t="s">
        <v>433</v>
      </c>
      <c r="AA17" s="1569" t="s">
        <v>433</v>
      </c>
      <c r="AB17" s="1569" t="s">
        <v>433</v>
      </c>
      <c r="AC17" s="1569" t="s">
        <v>433</v>
      </c>
      <c r="AD17" s="1569" t="s">
        <v>433</v>
      </c>
    </row>
    <row r="18" spans="1:30" ht="22.5" customHeight="1" thickTop="1">
      <c r="A18" s="1993" t="s">
        <v>155</v>
      </c>
      <c r="B18" s="2022"/>
      <c r="C18" s="979" t="s">
        <v>187</v>
      </c>
      <c r="D18" s="1158" t="s">
        <v>180</v>
      </c>
      <c r="E18" s="1484">
        <f>O18</f>
        <v>99831</v>
      </c>
      <c r="F18" s="1485">
        <f t="shared" ref="F18" si="36">P18</f>
        <v>8733</v>
      </c>
      <c r="G18" s="1485">
        <f t="shared" ref="G18" si="37">Q18</f>
        <v>34931</v>
      </c>
      <c r="H18" s="1485">
        <f t="shared" ref="H18" si="38">R18</f>
        <v>7789</v>
      </c>
      <c r="I18" s="1485">
        <f t="shared" ref="I18" si="39">S18</f>
        <v>8137</v>
      </c>
      <c r="J18" s="1485">
        <f t="shared" ref="J18" si="40">T18</f>
        <v>13778</v>
      </c>
      <c r="K18" s="1485">
        <f t="shared" ref="K18" si="41">U18</f>
        <v>14764</v>
      </c>
      <c r="L18" s="1485">
        <f t="shared" ref="L18" si="42">V18</f>
        <v>11699</v>
      </c>
      <c r="M18" s="71"/>
      <c r="O18" s="1651">
        <v>99831</v>
      </c>
      <c r="P18" s="1651">
        <v>8733</v>
      </c>
      <c r="Q18" s="1651">
        <v>34931</v>
      </c>
      <c r="R18" s="1651">
        <v>7789</v>
      </c>
      <c r="S18" s="1651">
        <v>8137</v>
      </c>
      <c r="T18" s="1651">
        <v>13778</v>
      </c>
      <c r="U18" s="1651">
        <v>14764</v>
      </c>
      <c r="V18" s="1651">
        <v>11699</v>
      </c>
      <c r="W18" s="1569" t="s">
        <v>433</v>
      </c>
      <c r="X18" s="1569" t="s">
        <v>433</v>
      </c>
      <c r="Y18" s="1569" t="s">
        <v>433</v>
      </c>
      <c r="Z18" s="1569" t="s">
        <v>433</v>
      </c>
      <c r="AA18" s="1569" t="s">
        <v>433</v>
      </c>
      <c r="AB18" s="1569" t="s">
        <v>433</v>
      </c>
      <c r="AC18" s="1569" t="s">
        <v>433</v>
      </c>
      <c r="AD18" s="1569" t="s">
        <v>433</v>
      </c>
    </row>
    <row r="19" spans="1:30" ht="22.5" customHeight="1">
      <c r="A19" s="1993"/>
      <c r="B19" s="2022"/>
      <c r="C19" s="979" t="s">
        <v>188</v>
      </c>
      <c r="D19" s="982" t="s">
        <v>154</v>
      </c>
      <c r="E19" s="1479">
        <f t="shared" ref="E19:L19" si="43">W19 /1000</f>
        <v>6701063.6339999996</v>
      </c>
      <c r="F19" s="1482">
        <f t="shared" si="43"/>
        <v>256990.78700000001</v>
      </c>
      <c r="G19" s="1482">
        <f t="shared" si="43"/>
        <v>434367.44300000003</v>
      </c>
      <c r="H19" s="1482">
        <f t="shared" si="43"/>
        <v>895035.83200000005</v>
      </c>
      <c r="I19" s="1482">
        <f t="shared" si="43"/>
        <v>668511.87399999995</v>
      </c>
      <c r="J19" s="1482">
        <f t="shared" si="43"/>
        <v>2224183.7089999998</v>
      </c>
      <c r="K19" s="1482">
        <f t="shared" si="43"/>
        <v>576702.35100000002</v>
      </c>
      <c r="L19" s="1482">
        <f t="shared" si="43"/>
        <v>1645271.638</v>
      </c>
      <c r="M19" s="71"/>
      <c r="O19" s="1569" t="s">
        <v>433</v>
      </c>
      <c r="P19" s="1569" t="s">
        <v>433</v>
      </c>
      <c r="Q19" s="1569" t="s">
        <v>433</v>
      </c>
      <c r="R19" s="1569" t="s">
        <v>433</v>
      </c>
      <c r="S19" s="1569" t="s">
        <v>433</v>
      </c>
      <c r="T19" s="1569" t="s">
        <v>433</v>
      </c>
      <c r="U19" s="1569" t="s">
        <v>433</v>
      </c>
      <c r="V19" s="1569" t="s">
        <v>433</v>
      </c>
      <c r="W19" s="1651">
        <v>6701063634</v>
      </c>
      <c r="X19" s="1651">
        <v>256990787</v>
      </c>
      <c r="Y19" s="1651">
        <v>434367443</v>
      </c>
      <c r="Z19" s="1651">
        <v>895035832</v>
      </c>
      <c r="AA19" s="1651">
        <v>668511874</v>
      </c>
      <c r="AB19" s="1651">
        <v>2224183709</v>
      </c>
      <c r="AC19" s="1651">
        <v>576702351</v>
      </c>
      <c r="AD19" s="1651">
        <v>1645271638</v>
      </c>
    </row>
    <row r="20" spans="1:30" ht="22.5" customHeight="1">
      <c r="A20" s="1994"/>
      <c r="B20" s="2023"/>
      <c r="C20" s="980" t="s">
        <v>189</v>
      </c>
      <c r="D20" s="983" t="s">
        <v>176</v>
      </c>
      <c r="E20" s="1466">
        <f t="shared" ref="E20:L20" si="44">IF(ISERR(E19/E18),"      －",E19/E18*1000)</f>
        <v>67124.076028488154</v>
      </c>
      <c r="F20" s="1466">
        <f t="shared" si="44"/>
        <v>29427.549181266462</v>
      </c>
      <c r="G20" s="1466">
        <f t="shared" si="44"/>
        <v>12435.013111562796</v>
      </c>
      <c r="H20" s="1466">
        <f t="shared" si="44"/>
        <v>114910.23648735396</v>
      </c>
      <c r="I20" s="1466">
        <f t="shared" si="44"/>
        <v>82157.044856826833</v>
      </c>
      <c r="J20" s="1466">
        <f t="shared" si="44"/>
        <v>161430.08484540571</v>
      </c>
      <c r="K20" s="1466">
        <f t="shared" si="44"/>
        <v>39061.389257653747</v>
      </c>
      <c r="L20" s="1466">
        <f t="shared" si="44"/>
        <v>140633.52748098128</v>
      </c>
      <c r="M20" s="71"/>
      <c r="O20" s="1569" t="s">
        <v>433</v>
      </c>
      <c r="P20" s="1569" t="s">
        <v>433</v>
      </c>
      <c r="Q20" s="1569" t="s">
        <v>433</v>
      </c>
      <c r="R20" s="1569" t="s">
        <v>433</v>
      </c>
      <c r="S20" s="1569" t="s">
        <v>433</v>
      </c>
      <c r="T20" s="1569" t="s">
        <v>433</v>
      </c>
      <c r="U20" s="1569" t="s">
        <v>433</v>
      </c>
      <c r="V20" s="1569" t="s">
        <v>433</v>
      </c>
      <c r="W20" s="1569" t="s">
        <v>433</v>
      </c>
      <c r="X20" s="1569" t="s">
        <v>433</v>
      </c>
      <c r="Y20" s="1569" t="s">
        <v>433</v>
      </c>
      <c r="Z20" s="1569" t="s">
        <v>433</v>
      </c>
      <c r="AA20" s="1569" t="s">
        <v>433</v>
      </c>
      <c r="AB20" s="1569" t="s">
        <v>433</v>
      </c>
      <c r="AC20" s="1569" t="s">
        <v>433</v>
      </c>
      <c r="AD20" s="1569" t="s">
        <v>433</v>
      </c>
    </row>
    <row r="22" spans="1:30" s="22" customFormat="1" ht="24" customHeight="1">
      <c r="A22" s="757" t="s">
        <v>535</v>
      </c>
      <c r="B22" s="757"/>
      <c r="C22" s="754"/>
      <c r="I22" s="605"/>
      <c r="O22" s="1472" t="s">
        <v>934</v>
      </c>
      <c r="P22" s="819"/>
      <c r="Q22" s="819"/>
      <c r="R22" s="819"/>
      <c r="S22" s="1117"/>
      <c r="T22" s="819"/>
      <c r="U22" s="819"/>
      <c r="V22" s="819"/>
      <c r="W22" s="1472" t="s">
        <v>415</v>
      </c>
      <c r="X22" s="819"/>
      <c r="Y22" s="819"/>
      <c r="Z22" s="819"/>
      <c r="AA22" s="1117"/>
      <c r="AB22" s="819"/>
      <c r="AC22" s="819"/>
      <c r="AD22" s="819"/>
    </row>
    <row r="23" spans="1:30" s="69" customFormat="1" ht="21" customHeight="1">
      <c r="A23" s="2060" t="s">
        <v>182</v>
      </c>
      <c r="B23" s="2060"/>
      <c r="C23" s="2060"/>
      <c r="D23" s="2060"/>
      <c r="E23" s="25"/>
      <c r="F23" s="2060" t="s">
        <v>190</v>
      </c>
      <c r="G23" s="2060"/>
      <c r="H23" s="66"/>
      <c r="I23" s="67" t="s">
        <v>191</v>
      </c>
      <c r="J23" s="68"/>
      <c r="K23" s="65"/>
      <c r="L23" s="25"/>
      <c r="O23" s="1400"/>
      <c r="P23" s="1401" t="s">
        <v>190</v>
      </c>
      <c r="Q23" s="1401"/>
      <c r="R23" s="1402"/>
      <c r="S23" s="974" t="s">
        <v>191</v>
      </c>
      <c r="T23" s="1403"/>
      <c r="U23" s="1404"/>
      <c r="V23" s="1400"/>
      <c r="W23" s="1400"/>
      <c r="X23" s="1401" t="s">
        <v>190</v>
      </c>
      <c r="Y23" s="1401"/>
      <c r="Z23" s="1402"/>
      <c r="AA23" s="974" t="s">
        <v>191</v>
      </c>
      <c r="AB23" s="1403"/>
      <c r="AC23" s="1404"/>
      <c r="AD23" s="1400"/>
    </row>
    <row r="24" spans="1:30" s="69" customFormat="1" ht="21" customHeight="1">
      <c r="A24" s="2060"/>
      <c r="B24" s="2060"/>
      <c r="C24" s="2060"/>
      <c r="D24" s="2060"/>
      <c r="E24" s="18" t="s">
        <v>192</v>
      </c>
      <c r="F24" s="25"/>
      <c r="G24" s="25"/>
      <c r="H24" s="18"/>
      <c r="I24" s="18"/>
      <c r="J24" s="18"/>
      <c r="K24" s="18"/>
      <c r="L24" s="16" t="s">
        <v>183</v>
      </c>
      <c r="O24" s="1406" t="s">
        <v>192</v>
      </c>
      <c r="P24" s="975" t="s">
        <v>184</v>
      </c>
      <c r="Q24" s="975" t="s">
        <v>98</v>
      </c>
      <c r="R24" s="975" t="s">
        <v>184</v>
      </c>
      <c r="S24" s="975" t="s">
        <v>185</v>
      </c>
      <c r="T24" s="975" t="s">
        <v>186</v>
      </c>
      <c r="U24" s="975" t="s">
        <v>98</v>
      </c>
      <c r="V24" s="975" t="s">
        <v>183</v>
      </c>
      <c r="W24" s="1406" t="s">
        <v>192</v>
      </c>
      <c r="X24" s="975" t="s">
        <v>184</v>
      </c>
      <c r="Y24" s="975" t="s">
        <v>98</v>
      </c>
      <c r="Z24" s="975" t="s">
        <v>184</v>
      </c>
      <c r="AA24" s="975" t="s">
        <v>185</v>
      </c>
      <c r="AB24" s="975" t="s">
        <v>186</v>
      </c>
      <c r="AC24" s="975" t="s">
        <v>98</v>
      </c>
      <c r="AD24" s="975" t="s">
        <v>183</v>
      </c>
    </row>
    <row r="25" spans="1:30" s="69" customFormat="1" ht="21" customHeight="1">
      <c r="A25" s="2060"/>
      <c r="B25" s="2060"/>
      <c r="C25" s="2060"/>
      <c r="D25" s="2060"/>
      <c r="E25" s="41"/>
      <c r="F25" s="72" t="s">
        <v>184</v>
      </c>
      <c r="G25" s="72" t="s">
        <v>98</v>
      </c>
      <c r="H25" s="16" t="s">
        <v>184</v>
      </c>
      <c r="I25" s="16" t="s">
        <v>185</v>
      </c>
      <c r="J25" s="16" t="s">
        <v>186</v>
      </c>
      <c r="K25" s="16" t="s">
        <v>98</v>
      </c>
      <c r="L25" s="41"/>
      <c r="O25" s="1473" t="s">
        <v>995</v>
      </c>
      <c r="P25" s="1473" t="s">
        <v>996</v>
      </c>
      <c r="Q25" s="1473" t="s">
        <v>997</v>
      </c>
      <c r="R25" s="1473" t="s">
        <v>998</v>
      </c>
      <c r="S25" s="1473" t="s">
        <v>999</v>
      </c>
      <c r="T25" s="1473" t="s">
        <v>1000</v>
      </c>
      <c r="U25" s="1473" t="s">
        <v>1001</v>
      </c>
      <c r="V25" s="1473" t="s">
        <v>1002</v>
      </c>
      <c r="W25" s="1473" t="s">
        <v>1003</v>
      </c>
      <c r="X25" s="1473" t="s">
        <v>1004</v>
      </c>
      <c r="Y25" s="1473" t="s">
        <v>1005</v>
      </c>
      <c r="Z25" s="1473" t="s">
        <v>1006</v>
      </c>
      <c r="AA25" s="1473" t="s">
        <v>1007</v>
      </c>
      <c r="AB25" s="1473" t="s">
        <v>1008</v>
      </c>
      <c r="AC25" s="1473" t="s">
        <v>1009</v>
      </c>
      <c r="AD25" s="1473" t="s">
        <v>1010</v>
      </c>
    </row>
    <row r="26" spans="1:30" ht="22.5" customHeight="1">
      <c r="A26" s="2024" t="s">
        <v>594</v>
      </c>
      <c r="B26" s="2058"/>
      <c r="C26" s="73" t="s">
        <v>187</v>
      </c>
      <c r="D26" s="70" t="s">
        <v>180</v>
      </c>
      <c r="E26" s="1478">
        <f>O26</f>
        <v>1101933</v>
      </c>
      <c r="F26" s="1483">
        <f t="shared" ref="F26" si="45">P26</f>
        <v>48933</v>
      </c>
      <c r="G26" s="1483">
        <f t="shared" ref="G26" si="46">Q26</f>
        <v>589423</v>
      </c>
      <c r="H26" s="1483">
        <f t="shared" ref="H26" si="47">R26</f>
        <v>15408</v>
      </c>
      <c r="I26" s="1483">
        <f t="shared" ref="I26" si="48">S26</f>
        <v>61221</v>
      </c>
      <c r="J26" s="1483">
        <f t="shared" ref="J26" si="49">T26</f>
        <v>82030</v>
      </c>
      <c r="K26" s="1483">
        <f t="shared" ref="K26" si="50">U26</f>
        <v>213472</v>
      </c>
      <c r="L26" s="1483">
        <f t="shared" ref="L26" si="51">V26</f>
        <v>91446</v>
      </c>
      <c r="M26" s="71"/>
      <c r="O26" s="1651">
        <v>1101933</v>
      </c>
      <c r="P26" s="1651">
        <v>48933</v>
      </c>
      <c r="Q26" s="1651">
        <v>589423</v>
      </c>
      <c r="R26" s="1651">
        <v>15408</v>
      </c>
      <c r="S26" s="1651">
        <v>61221</v>
      </c>
      <c r="T26" s="1651">
        <v>82030</v>
      </c>
      <c r="U26" s="1651">
        <v>213472</v>
      </c>
      <c r="V26" s="1651">
        <v>91446</v>
      </c>
      <c r="W26" s="1569" t="s">
        <v>433</v>
      </c>
      <c r="X26" s="1569" t="s">
        <v>433</v>
      </c>
      <c r="Y26" s="1569" t="s">
        <v>433</v>
      </c>
      <c r="Z26" s="1569" t="s">
        <v>433</v>
      </c>
      <c r="AA26" s="1569" t="s">
        <v>433</v>
      </c>
      <c r="AB26" s="1569" t="s">
        <v>433</v>
      </c>
      <c r="AC26" s="1569" t="s">
        <v>433</v>
      </c>
      <c r="AD26" s="1569" t="s">
        <v>433</v>
      </c>
    </row>
    <row r="27" spans="1:30" ht="22.5" customHeight="1">
      <c r="A27" s="1993"/>
      <c r="B27" s="2022"/>
      <c r="C27" s="74" t="s">
        <v>188</v>
      </c>
      <c r="D27" s="75" t="s">
        <v>154</v>
      </c>
      <c r="E27" s="1479">
        <f>W27 /1000</f>
        <v>32480310.721999999</v>
      </c>
      <c r="F27" s="1482">
        <f t="shared" ref="F27" si="52">X27 /1000</f>
        <v>578166.65800000005</v>
      </c>
      <c r="G27" s="1482">
        <f t="shared" ref="G27" si="53">Y27 /1000</f>
        <v>4344212.9179999996</v>
      </c>
      <c r="H27" s="1482">
        <f t="shared" ref="H27" si="54">Z27 /1000</f>
        <v>1055018.821</v>
      </c>
      <c r="I27" s="1482">
        <f t="shared" ref="I27" si="55">AA27 /1000</f>
        <v>4019938.9330000002</v>
      </c>
      <c r="J27" s="1482">
        <f t="shared" ref="J27" si="56">AB27 /1000</f>
        <v>9273165.9169999994</v>
      </c>
      <c r="K27" s="1482">
        <f t="shared" ref="K27" si="57">AC27 /1000</f>
        <v>5855882.2199999997</v>
      </c>
      <c r="L27" s="1482">
        <f t="shared" ref="L27" si="58">AD27 /1000</f>
        <v>7353925.2549999999</v>
      </c>
      <c r="M27" s="71"/>
      <c r="O27" s="1569" t="s">
        <v>433</v>
      </c>
      <c r="P27" s="1569" t="s">
        <v>433</v>
      </c>
      <c r="Q27" s="1569" t="s">
        <v>433</v>
      </c>
      <c r="R27" s="1569" t="s">
        <v>433</v>
      </c>
      <c r="S27" s="1569" t="s">
        <v>433</v>
      </c>
      <c r="T27" s="1569" t="s">
        <v>433</v>
      </c>
      <c r="U27" s="1569" t="s">
        <v>433</v>
      </c>
      <c r="V27" s="1569" t="s">
        <v>433</v>
      </c>
      <c r="W27" s="1651">
        <v>32480310722</v>
      </c>
      <c r="X27" s="1651">
        <v>578166658</v>
      </c>
      <c r="Y27" s="1651">
        <v>4344212918</v>
      </c>
      <c r="Z27" s="1651">
        <v>1055018821</v>
      </c>
      <c r="AA27" s="1651">
        <v>4019938933</v>
      </c>
      <c r="AB27" s="1651">
        <v>9273165917</v>
      </c>
      <c r="AC27" s="1651">
        <v>5855882220</v>
      </c>
      <c r="AD27" s="1651">
        <v>7353925255</v>
      </c>
    </row>
    <row r="28" spans="1:30" ht="22.5" customHeight="1" thickBot="1">
      <c r="A28" s="2027"/>
      <c r="B28" s="2048"/>
      <c r="C28" s="1162" t="s">
        <v>189</v>
      </c>
      <c r="D28" s="1163" t="s">
        <v>176</v>
      </c>
      <c r="E28" s="1467">
        <f t="shared" ref="E28:L28" si="59">IF(ISERR(E27/E26),"－",E27/E26*1000)</f>
        <v>29475.75825571972</v>
      </c>
      <c r="F28" s="1467">
        <f t="shared" si="59"/>
        <v>11815.475405145813</v>
      </c>
      <c r="G28" s="1467">
        <f t="shared" si="59"/>
        <v>7370.2806269860521</v>
      </c>
      <c r="H28" s="1467">
        <f t="shared" si="59"/>
        <v>68472.145703530623</v>
      </c>
      <c r="I28" s="1467">
        <f t="shared" si="59"/>
        <v>65662.745348818222</v>
      </c>
      <c r="J28" s="1467">
        <f t="shared" si="59"/>
        <v>113046.03092770936</v>
      </c>
      <c r="K28" s="1467">
        <f t="shared" si="59"/>
        <v>27431.617354969268</v>
      </c>
      <c r="L28" s="1467">
        <f t="shared" si="59"/>
        <v>80418.227751897284</v>
      </c>
      <c r="M28" s="71"/>
      <c r="O28" s="1569" t="s">
        <v>433</v>
      </c>
      <c r="P28" s="1569" t="s">
        <v>433</v>
      </c>
      <c r="Q28" s="1569" t="s">
        <v>433</v>
      </c>
      <c r="R28" s="1569" t="s">
        <v>433</v>
      </c>
      <c r="S28" s="1569" t="s">
        <v>433</v>
      </c>
      <c r="T28" s="1569" t="s">
        <v>433</v>
      </c>
      <c r="U28" s="1569" t="s">
        <v>433</v>
      </c>
      <c r="V28" s="1569" t="s">
        <v>433</v>
      </c>
      <c r="W28" s="1569" t="s">
        <v>433</v>
      </c>
      <c r="X28" s="1569" t="s">
        <v>433</v>
      </c>
      <c r="Y28" s="1569" t="s">
        <v>433</v>
      </c>
      <c r="Z28" s="1569" t="s">
        <v>433</v>
      </c>
      <c r="AA28" s="1569" t="s">
        <v>433</v>
      </c>
      <c r="AB28" s="1569" t="s">
        <v>433</v>
      </c>
      <c r="AC28" s="1569" t="s">
        <v>433</v>
      </c>
      <c r="AD28" s="1569" t="s">
        <v>433</v>
      </c>
    </row>
    <row r="29" spans="1:30" ht="22.5" customHeight="1" thickTop="1">
      <c r="A29" s="1993" t="s">
        <v>589</v>
      </c>
      <c r="B29" s="2022"/>
      <c r="C29" s="74" t="s">
        <v>187</v>
      </c>
      <c r="D29" s="1161" t="s">
        <v>180</v>
      </c>
      <c r="E29" s="1480">
        <f>O29</f>
        <v>1040612</v>
      </c>
      <c r="F29" s="1481">
        <f t="shared" ref="F29" si="60">P29</f>
        <v>45507</v>
      </c>
      <c r="G29" s="1481">
        <f t="shared" ref="G29" si="61">Q29</f>
        <v>559910</v>
      </c>
      <c r="H29" s="1481">
        <f t="shared" ref="H29" si="62">R29</f>
        <v>13979</v>
      </c>
      <c r="I29" s="1481">
        <f t="shared" ref="I29" si="63">S29</f>
        <v>58391</v>
      </c>
      <c r="J29" s="1481">
        <f t="shared" ref="J29" si="64">T29</f>
        <v>76249</v>
      </c>
      <c r="K29" s="1481">
        <f t="shared" ref="K29" si="65">U29</f>
        <v>200618</v>
      </c>
      <c r="L29" s="1481">
        <f t="shared" ref="L29" si="66">V29</f>
        <v>85958</v>
      </c>
      <c r="M29" s="71"/>
      <c r="O29" s="1651">
        <v>1040612</v>
      </c>
      <c r="P29" s="1651">
        <v>45507</v>
      </c>
      <c r="Q29" s="1651">
        <v>559910</v>
      </c>
      <c r="R29" s="1651">
        <v>13979</v>
      </c>
      <c r="S29" s="1651">
        <v>58391</v>
      </c>
      <c r="T29" s="1651">
        <v>76249</v>
      </c>
      <c r="U29" s="1651">
        <v>200618</v>
      </c>
      <c r="V29" s="1651">
        <v>85958</v>
      </c>
      <c r="W29" s="1569" t="s">
        <v>433</v>
      </c>
      <c r="X29" s="1569" t="s">
        <v>433</v>
      </c>
      <c r="Y29" s="1569" t="s">
        <v>433</v>
      </c>
      <c r="Z29" s="1569" t="s">
        <v>433</v>
      </c>
      <c r="AA29" s="1569" t="s">
        <v>433</v>
      </c>
      <c r="AB29" s="1569" t="s">
        <v>433</v>
      </c>
      <c r="AC29" s="1569" t="s">
        <v>433</v>
      </c>
      <c r="AD29" s="1569" t="s">
        <v>433</v>
      </c>
    </row>
    <row r="30" spans="1:30" ht="22.5" customHeight="1">
      <c r="A30" s="1993"/>
      <c r="B30" s="2022"/>
      <c r="C30" s="74" t="s">
        <v>188</v>
      </c>
      <c r="D30" s="75" t="s">
        <v>154</v>
      </c>
      <c r="E30" s="1479">
        <f>W30 /1000</f>
        <v>30273831.826000001</v>
      </c>
      <c r="F30" s="1482">
        <f t="shared" ref="F30" si="67">X30 /1000</f>
        <v>533306.66899999999</v>
      </c>
      <c r="G30" s="1482">
        <f t="shared" ref="G30" si="68">Y30 /1000</f>
        <v>4109584.17</v>
      </c>
      <c r="H30" s="1482">
        <f t="shared" ref="H30" si="69">Z30 /1000</f>
        <v>939105.99199999997</v>
      </c>
      <c r="I30" s="1482">
        <f t="shared" ref="I30" si="70">AA30 /1000</f>
        <v>3832398.3569999998</v>
      </c>
      <c r="J30" s="1482">
        <f t="shared" ref="J30" si="71">AB30 /1000</f>
        <v>8589461.1530000009</v>
      </c>
      <c r="K30" s="1482">
        <f t="shared" ref="K30" si="72">AC30 /1000</f>
        <v>5417033.1160000004</v>
      </c>
      <c r="L30" s="1482">
        <f t="shared" ref="L30" si="73">AD30 /1000</f>
        <v>6852942.3689999999</v>
      </c>
      <c r="M30" s="71"/>
      <c r="O30" s="1569" t="s">
        <v>433</v>
      </c>
      <c r="P30" s="1569" t="s">
        <v>433</v>
      </c>
      <c r="Q30" s="1569" t="s">
        <v>433</v>
      </c>
      <c r="R30" s="1569" t="s">
        <v>433</v>
      </c>
      <c r="S30" s="1569" t="s">
        <v>433</v>
      </c>
      <c r="T30" s="1569" t="s">
        <v>433</v>
      </c>
      <c r="U30" s="1569" t="s">
        <v>433</v>
      </c>
      <c r="V30" s="1569" t="s">
        <v>433</v>
      </c>
      <c r="W30" s="1651">
        <v>30273831826</v>
      </c>
      <c r="X30" s="1651">
        <v>533306669</v>
      </c>
      <c r="Y30" s="1651">
        <v>4109584170</v>
      </c>
      <c r="Z30" s="1651">
        <v>939105992</v>
      </c>
      <c r="AA30" s="1651">
        <v>3832398357</v>
      </c>
      <c r="AB30" s="1651">
        <v>8589461153</v>
      </c>
      <c r="AC30" s="1651">
        <v>5417033116</v>
      </c>
      <c r="AD30" s="1651">
        <v>6852942369</v>
      </c>
    </row>
    <row r="31" spans="1:30" ht="22.5" customHeight="1">
      <c r="A31" s="1993"/>
      <c r="B31" s="2023"/>
      <c r="C31" s="76" t="s">
        <v>189</v>
      </c>
      <c r="D31" s="77" t="s">
        <v>176</v>
      </c>
      <c r="E31" s="1468">
        <f t="shared" ref="E31:L31" si="74">IF(ISERR(E30/E29),"－",E30/E29*1000)</f>
        <v>29092.333959247062</v>
      </c>
      <c r="F31" s="1468">
        <f t="shared" si="74"/>
        <v>11719.222734963852</v>
      </c>
      <c r="G31" s="1468">
        <f t="shared" si="74"/>
        <v>7339.7227590148414</v>
      </c>
      <c r="H31" s="1468">
        <f t="shared" si="74"/>
        <v>67179.769082194718</v>
      </c>
      <c r="I31" s="1468">
        <f t="shared" si="74"/>
        <v>65633.374270007364</v>
      </c>
      <c r="J31" s="1468">
        <f t="shared" si="74"/>
        <v>112650.14823800969</v>
      </c>
      <c r="K31" s="1468">
        <f t="shared" si="74"/>
        <v>27001.730233578248</v>
      </c>
      <c r="L31" s="1468">
        <f t="shared" si="74"/>
        <v>79724.311512599175</v>
      </c>
      <c r="M31" s="71"/>
      <c r="O31" s="1569" t="s">
        <v>433</v>
      </c>
      <c r="P31" s="1569" t="s">
        <v>433</v>
      </c>
      <c r="Q31" s="1569" t="s">
        <v>433</v>
      </c>
      <c r="R31" s="1569" t="s">
        <v>433</v>
      </c>
      <c r="S31" s="1569" t="s">
        <v>433</v>
      </c>
      <c r="T31" s="1569" t="s">
        <v>433</v>
      </c>
      <c r="U31" s="1569" t="s">
        <v>433</v>
      </c>
      <c r="V31" s="1569" t="s">
        <v>433</v>
      </c>
      <c r="W31" s="1569" t="s">
        <v>433</v>
      </c>
      <c r="X31" s="1569" t="s">
        <v>433</v>
      </c>
      <c r="Y31" s="1569" t="s">
        <v>433</v>
      </c>
      <c r="Z31" s="1569" t="s">
        <v>433</v>
      </c>
      <c r="AA31" s="1569" t="s">
        <v>433</v>
      </c>
      <c r="AB31" s="1569" t="s">
        <v>433</v>
      </c>
      <c r="AC31" s="1569" t="s">
        <v>433</v>
      </c>
      <c r="AD31" s="1569" t="s">
        <v>433</v>
      </c>
    </row>
    <row r="32" spans="1:30" ht="22.5" customHeight="1">
      <c r="A32" s="1145"/>
      <c r="B32" s="2059" t="s">
        <v>590</v>
      </c>
      <c r="C32" s="73" t="s">
        <v>187</v>
      </c>
      <c r="D32" s="70" t="s">
        <v>180</v>
      </c>
      <c r="E32" s="1478">
        <f>O32</f>
        <v>687696</v>
      </c>
      <c r="F32" s="1483">
        <f t="shared" ref="F32" si="75">P32</f>
        <v>32366</v>
      </c>
      <c r="G32" s="1483">
        <f t="shared" ref="G32" si="76">Q32</f>
        <v>371801</v>
      </c>
      <c r="H32" s="1483">
        <f t="shared" ref="H32" si="77">R32</f>
        <v>8764</v>
      </c>
      <c r="I32" s="1483">
        <f t="shared" ref="I32" si="78">S32</f>
        <v>38447</v>
      </c>
      <c r="J32" s="1483">
        <f t="shared" ref="J32" si="79">T32</f>
        <v>47797</v>
      </c>
      <c r="K32" s="1483">
        <f t="shared" ref="K32" si="80">U32</f>
        <v>131552</v>
      </c>
      <c r="L32" s="1483">
        <f t="shared" ref="L32" si="81">V32</f>
        <v>56969</v>
      </c>
      <c r="M32" s="71"/>
      <c r="O32" s="1651">
        <v>687696</v>
      </c>
      <c r="P32" s="1651">
        <v>32366</v>
      </c>
      <c r="Q32" s="1651">
        <v>371801</v>
      </c>
      <c r="R32" s="1651">
        <v>8764</v>
      </c>
      <c r="S32" s="1651">
        <v>38447</v>
      </c>
      <c r="T32" s="1651">
        <v>47797</v>
      </c>
      <c r="U32" s="1651">
        <v>131552</v>
      </c>
      <c r="V32" s="1651">
        <v>56969</v>
      </c>
      <c r="W32" s="1569" t="s">
        <v>433</v>
      </c>
      <c r="X32" s="1569" t="s">
        <v>433</v>
      </c>
      <c r="Y32" s="1569" t="s">
        <v>433</v>
      </c>
      <c r="Z32" s="1569" t="s">
        <v>433</v>
      </c>
      <c r="AA32" s="1569" t="s">
        <v>433</v>
      </c>
      <c r="AB32" s="1569" t="s">
        <v>433</v>
      </c>
      <c r="AC32" s="1569" t="s">
        <v>433</v>
      </c>
      <c r="AD32" s="1569" t="s">
        <v>433</v>
      </c>
    </row>
    <row r="33" spans="1:30" ht="22.5" customHeight="1">
      <c r="A33" s="1145"/>
      <c r="B33" s="2020"/>
      <c r="C33" s="74" t="s">
        <v>188</v>
      </c>
      <c r="D33" s="75" t="s">
        <v>154</v>
      </c>
      <c r="E33" s="1479">
        <f>W33 /1000</f>
        <v>20029280.252</v>
      </c>
      <c r="F33" s="1482">
        <f t="shared" ref="F33" si="82">X33 /1000</f>
        <v>378002.685</v>
      </c>
      <c r="G33" s="1482">
        <f t="shared" ref="G33" si="83">Y33 /1000</f>
        <v>2732257.8190000001</v>
      </c>
      <c r="H33" s="1482">
        <f t="shared" ref="H33" si="84">Z33 /1000</f>
        <v>620773.81000000006</v>
      </c>
      <c r="I33" s="1482">
        <f t="shared" ref="I33" si="85">AA33 /1000</f>
        <v>2637479.5839999998</v>
      </c>
      <c r="J33" s="1482">
        <f t="shared" ref="J33" si="86">AB33 /1000</f>
        <v>5570192.7000000002</v>
      </c>
      <c r="K33" s="1482">
        <f t="shared" ref="K33" si="87">AC33 /1000</f>
        <v>3526550.5219999999</v>
      </c>
      <c r="L33" s="1482">
        <f t="shared" ref="L33" si="88">AD33 /1000</f>
        <v>4564023.1320000002</v>
      </c>
      <c r="M33" s="71"/>
      <c r="O33" s="1569" t="s">
        <v>433</v>
      </c>
      <c r="P33" s="1569" t="s">
        <v>433</v>
      </c>
      <c r="Q33" s="1569" t="s">
        <v>433</v>
      </c>
      <c r="R33" s="1569" t="s">
        <v>433</v>
      </c>
      <c r="S33" s="1569" t="s">
        <v>433</v>
      </c>
      <c r="T33" s="1569" t="s">
        <v>433</v>
      </c>
      <c r="U33" s="1569" t="s">
        <v>433</v>
      </c>
      <c r="V33" s="1569" t="s">
        <v>433</v>
      </c>
      <c r="W33" s="1651">
        <v>20029280252</v>
      </c>
      <c r="X33" s="1651">
        <v>378002685</v>
      </c>
      <c r="Y33" s="1651">
        <v>2732257819</v>
      </c>
      <c r="Z33" s="1651">
        <v>620773810</v>
      </c>
      <c r="AA33" s="1651">
        <v>2637479584</v>
      </c>
      <c r="AB33" s="1651">
        <v>5570192700</v>
      </c>
      <c r="AC33" s="1651">
        <v>3526550522</v>
      </c>
      <c r="AD33" s="1651">
        <v>4564023132</v>
      </c>
    </row>
    <row r="34" spans="1:30" ht="22.5" customHeight="1">
      <c r="A34" s="1145"/>
      <c r="B34" s="2021"/>
      <c r="C34" s="76" t="s">
        <v>189</v>
      </c>
      <c r="D34" s="77" t="s">
        <v>176</v>
      </c>
      <c r="E34" s="1468">
        <f t="shared" ref="E34:L34" si="89">IF(ISERR(E33/E32),"－",E33/E32*1000)</f>
        <v>29125.195219980924</v>
      </c>
      <c r="F34" s="1468">
        <f t="shared" si="89"/>
        <v>11679.005283322003</v>
      </c>
      <c r="G34" s="1468">
        <f t="shared" si="89"/>
        <v>7348.7102482241844</v>
      </c>
      <c r="H34" s="1468">
        <f t="shared" si="89"/>
        <v>70832.246691008681</v>
      </c>
      <c r="I34" s="1468">
        <f t="shared" si="89"/>
        <v>68600.400135251126</v>
      </c>
      <c r="J34" s="1468">
        <f t="shared" si="89"/>
        <v>116538.54216791849</v>
      </c>
      <c r="K34" s="1468">
        <f t="shared" si="89"/>
        <v>26807.274096935049</v>
      </c>
      <c r="L34" s="1468">
        <f t="shared" si="89"/>
        <v>80114.152117818463</v>
      </c>
      <c r="M34" s="71"/>
      <c r="O34" s="1569" t="s">
        <v>433</v>
      </c>
      <c r="P34" s="1569" t="s">
        <v>433</v>
      </c>
      <c r="Q34" s="1569" t="s">
        <v>433</v>
      </c>
      <c r="R34" s="1569" t="s">
        <v>433</v>
      </c>
      <c r="S34" s="1569" t="s">
        <v>433</v>
      </c>
      <c r="T34" s="1569" t="s">
        <v>433</v>
      </c>
      <c r="U34" s="1569" t="s">
        <v>433</v>
      </c>
      <c r="V34" s="1569" t="s">
        <v>433</v>
      </c>
      <c r="W34" s="1569" t="s">
        <v>433</v>
      </c>
      <c r="X34" s="1569" t="s">
        <v>433</v>
      </c>
      <c r="Y34" s="1569" t="s">
        <v>433</v>
      </c>
      <c r="Z34" s="1569" t="s">
        <v>433</v>
      </c>
      <c r="AA34" s="1569" t="s">
        <v>433</v>
      </c>
      <c r="AB34" s="1569" t="s">
        <v>433</v>
      </c>
      <c r="AC34" s="1569" t="s">
        <v>433</v>
      </c>
      <c r="AD34" s="1569" t="s">
        <v>433</v>
      </c>
    </row>
    <row r="35" spans="1:30" ht="22.5" customHeight="1">
      <c r="A35" s="1145"/>
      <c r="B35" s="2020" t="s">
        <v>591</v>
      </c>
      <c r="C35" s="73" t="s">
        <v>187</v>
      </c>
      <c r="D35" s="70" t="s">
        <v>180</v>
      </c>
      <c r="E35" s="1478">
        <f>O35</f>
        <v>352916</v>
      </c>
      <c r="F35" s="1483">
        <f t="shared" ref="F35" si="90">P35</f>
        <v>13141</v>
      </c>
      <c r="G35" s="1483">
        <f t="shared" ref="G35" si="91">Q35</f>
        <v>188109</v>
      </c>
      <c r="H35" s="1483">
        <f t="shared" ref="H35" si="92">R35</f>
        <v>5215</v>
      </c>
      <c r="I35" s="1483">
        <f t="shared" ref="I35" si="93">S35</f>
        <v>19944</v>
      </c>
      <c r="J35" s="1483">
        <f t="shared" ref="J35" si="94">T35</f>
        <v>28452</v>
      </c>
      <c r="K35" s="1483">
        <f t="shared" ref="K35" si="95">U35</f>
        <v>69066</v>
      </c>
      <c r="L35" s="1483">
        <f t="shared" ref="L35" si="96">V35</f>
        <v>28989</v>
      </c>
      <c r="M35" s="71"/>
      <c r="O35" s="1651">
        <v>352916</v>
      </c>
      <c r="P35" s="1651">
        <v>13141</v>
      </c>
      <c r="Q35" s="1651">
        <v>188109</v>
      </c>
      <c r="R35" s="1651">
        <v>5215</v>
      </c>
      <c r="S35" s="1651">
        <v>19944</v>
      </c>
      <c r="T35" s="1651">
        <v>28452</v>
      </c>
      <c r="U35" s="1651">
        <v>69066</v>
      </c>
      <c r="V35" s="1651">
        <v>28989</v>
      </c>
      <c r="W35" s="1569" t="s">
        <v>433</v>
      </c>
      <c r="X35" s="1569" t="s">
        <v>433</v>
      </c>
      <c r="Y35" s="1569" t="s">
        <v>433</v>
      </c>
      <c r="Z35" s="1569" t="s">
        <v>433</v>
      </c>
      <c r="AA35" s="1569" t="s">
        <v>433</v>
      </c>
      <c r="AB35" s="1569" t="s">
        <v>433</v>
      </c>
      <c r="AC35" s="1569" t="s">
        <v>433</v>
      </c>
      <c r="AD35" s="1569" t="s">
        <v>433</v>
      </c>
    </row>
    <row r="36" spans="1:30" ht="22.5" customHeight="1">
      <c r="A36" s="1145"/>
      <c r="B36" s="2020"/>
      <c r="C36" s="74" t="s">
        <v>188</v>
      </c>
      <c r="D36" s="75" t="s">
        <v>154</v>
      </c>
      <c r="E36" s="1479">
        <f>W36 /1000</f>
        <v>10244551.573999999</v>
      </c>
      <c r="F36" s="1482">
        <f t="shared" ref="F36" si="97">X36 /1000</f>
        <v>155303.984</v>
      </c>
      <c r="G36" s="1482">
        <f t="shared" ref="G36" si="98">Y36 /1000</f>
        <v>1377326.351</v>
      </c>
      <c r="H36" s="1482">
        <f t="shared" ref="H36" si="99">Z36 /1000</f>
        <v>318332.18199999997</v>
      </c>
      <c r="I36" s="1482">
        <f t="shared" ref="I36" si="100">AA36 /1000</f>
        <v>1194918.773</v>
      </c>
      <c r="J36" s="1482">
        <f t="shared" ref="J36" si="101">AB36 /1000</f>
        <v>3019268.4530000002</v>
      </c>
      <c r="K36" s="1482">
        <f t="shared" ref="K36" si="102">AC36 /1000</f>
        <v>1890482.594</v>
      </c>
      <c r="L36" s="1482">
        <f t="shared" ref="L36" si="103">AD36 /1000</f>
        <v>2288919.2370000002</v>
      </c>
      <c r="M36" s="71"/>
      <c r="O36" s="1569" t="s">
        <v>433</v>
      </c>
      <c r="P36" s="1569" t="s">
        <v>433</v>
      </c>
      <c r="Q36" s="1569" t="s">
        <v>433</v>
      </c>
      <c r="R36" s="1569" t="s">
        <v>433</v>
      </c>
      <c r="S36" s="1569" t="s">
        <v>433</v>
      </c>
      <c r="T36" s="1569" t="s">
        <v>433</v>
      </c>
      <c r="U36" s="1569" t="s">
        <v>433</v>
      </c>
      <c r="V36" s="1569" t="s">
        <v>433</v>
      </c>
      <c r="W36" s="1651">
        <v>10244551574</v>
      </c>
      <c r="X36" s="1651">
        <v>155303984</v>
      </c>
      <c r="Y36" s="1651">
        <v>1377326351</v>
      </c>
      <c r="Z36" s="1651">
        <v>318332182</v>
      </c>
      <c r="AA36" s="1651">
        <v>1194918773</v>
      </c>
      <c r="AB36" s="1651">
        <v>3019268453</v>
      </c>
      <c r="AC36" s="1651">
        <v>1890482594</v>
      </c>
      <c r="AD36" s="1651">
        <v>2288919237</v>
      </c>
    </row>
    <row r="37" spans="1:30" ht="22.5" customHeight="1" thickBot="1">
      <c r="A37" s="1147"/>
      <c r="B37" s="2037"/>
      <c r="C37" s="1162" t="s">
        <v>189</v>
      </c>
      <c r="D37" s="1163" t="s">
        <v>176</v>
      </c>
      <c r="E37" s="1467">
        <f t="shared" ref="E37:L37" si="104">IF(ISERR(E36/E35),"－",E36/E35*1000)</f>
        <v>29028.30014507701</v>
      </c>
      <c r="F37" s="1467">
        <f t="shared" si="104"/>
        <v>11818.277452248687</v>
      </c>
      <c r="G37" s="1467">
        <f t="shared" si="104"/>
        <v>7321.9588164308989</v>
      </c>
      <c r="H37" s="1467">
        <f t="shared" si="104"/>
        <v>61041.64563758389</v>
      </c>
      <c r="I37" s="1467">
        <f t="shared" si="104"/>
        <v>59913.697001604494</v>
      </c>
      <c r="J37" s="1467">
        <f t="shared" si="104"/>
        <v>106117.96896527485</v>
      </c>
      <c r="K37" s="1467">
        <f t="shared" si="104"/>
        <v>27372.116439347868</v>
      </c>
      <c r="L37" s="1467">
        <f t="shared" si="104"/>
        <v>78958.19921349478</v>
      </c>
      <c r="M37" s="71"/>
      <c r="O37" s="1569" t="s">
        <v>433</v>
      </c>
      <c r="P37" s="1569" t="s">
        <v>433</v>
      </c>
      <c r="Q37" s="1569" t="s">
        <v>433</v>
      </c>
      <c r="R37" s="1569" t="s">
        <v>433</v>
      </c>
      <c r="S37" s="1569" t="s">
        <v>433</v>
      </c>
      <c r="T37" s="1569" t="s">
        <v>433</v>
      </c>
      <c r="U37" s="1569" t="s">
        <v>433</v>
      </c>
      <c r="V37" s="1569" t="s">
        <v>433</v>
      </c>
      <c r="W37" s="1569" t="s">
        <v>433</v>
      </c>
      <c r="X37" s="1569" t="s">
        <v>433</v>
      </c>
      <c r="Y37" s="1569" t="s">
        <v>433</v>
      </c>
      <c r="Z37" s="1569" t="s">
        <v>433</v>
      </c>
      <c r="AA37" s="1569" t="s">
        <v>433</v>
      </c>
      <c r="AB37" s="1569" t="s">
        <v>433</v>
      </c>
      <c r="AC37" s="1569" t="s">
        <v>433</v>
      </c>
      <c r="AD37" s="1569" t="s">
        <v>433</v>
      </c>
    </row>
    <row r="38" spans="1:30" ht="22.5" customHeight="1" thickTop="1">
      <c r="A38" s="1993" t="s">
        <v>155</v>
      </c>
      <c r="B38" s="2022"/>
      <c r="C38" s="74" t="s">
        <v>187</v>
      </c>
      <c r="D38" s="1161" t="s">
        <v>180</v>
      </c>
      <c r="E38" s="1480">
        <f>O38</f>
        <v>61321</v>
      </c>
      <c r="F38" s="1481">
        <f t="shared" ref="F38" si="105">P38</f>
        <v>3426</v>
      </c>
      <c r="G38" s="1481">
        <f t="shared" ref="G38" si="106">Q38</f>
        <v>29513</v>
      </c>
      <c r="H38" s="1481">
        <f t="shared" ref="H38" si="107">R38</f>
        <v>1429</v>
      </c>
      <c r="I38" s="1481">
        <f t="shared" ref="I38" si="108">S38</f>
        <v>2830</v>
      </c>
      <c r="J38" s="1481">
        <f t="shared" ref="J38" si="109">T38</f>
        <v>5781</v>
      </c>
      <c r="K38" s="1481">
        <f t="shared" ref="K38" si="110">U38</f>
        <v>12854</v>
      </c>
      <c r="L38" s="1481">
        <f t="shared" ref="L38" si="111">V38</f>
        <v>5488</v>
      </c>
      <c r="M38" s="71"/>
      <c r="O38" s="1651">
        <v>61321</v>
      </c>
      <c r="P38" s="1651">
        <v>3426</v>
      </c>
      <c r="Q38" s="1651">
        <v>29513</v>
      </c>
      <c r="R38" s="1651">
        <v>1429</v>
      </c>
      <c r="S38" s="1651">
        <v>2830</v>
      </c>
      <c r="T38" s="1651">
        <v>5781</v>
      </c>
      <c r="U38" s="1651">
        <v>12854</v>
      </c>
      <c r="V38" s="1651">
        <v>5488</v>
      </c>
      <c r="W38" s="1569" t="s">
        <v>433</v>
      </c>
      <c r="X38" s="1569" t="s">
        <v>433</v>
      </c>
      <c r="Y38" s="1569" t="s">
        <v>433</v>
      </c>
      <c r="Z38" s="1569" t="s">
        <v>433</v>
      </c>
      <c r="AA38" s="1569" t="s">
        <v>433</v>
      </c>
      <c r="AB38" s="1569" t="s">
        <v>433</v>
      </c>
      <c r="AC38" s="1569" t="s">
        <v>433</v>
      </c>
      <c r="AD38" s="1569" t="s">
        <v>433</v>
      </c>
    </row>
    <row r="39" spans="1:30" ht="22.5" customHeight="1">
      <c r="A39" s="1993"/>
      <c r="B39" s="2022"/>
      <c r="C39" s="74" t="s">
        <v>188</v>
      </c>
      <c r="D39" s="75" t="s">
        <v>154</v>
      </c>
      <c r="E39" s="1479">
        <f>W39 /1000</f>
        <v>2206478.8960000002</v>
      </c>
      <c r="F39" s="1482">
        <f t="shared" ref="F39" si="112">X39 /1000</f>
        <v>44859.989000000001</v>
      </c>
      <c r="G39" s="1482">
        <f t="shared" ref="G39" si="113">Y39 /1000</f>
        <v>234628.74799999999</v>
      </c>
      <c r="H39" s="1482">
        <f t="shared" ref="H39" si="114">Z39 /1000</f>
        <v>115912.829</v>
      </c>
      <c r="I39" s="1482">
        <f t="shared" ref="I39" si="115">AA39 /1000</f>
        <v>187540.576</v>
      </c>
      <c r="J39" s="1482">
        <f t="shared" ref="J39" si="116">AB39 /1000</f>
        <v>683704.76399999997</v>
      </c>
      <c r="K39" s="1482">
        <f t="shared" ref="K39" si="117">AC39 /1000</f>
        <v>438849.10399999999</v>
      </c>
      <c r="L39" s="1482">
        <f t="shared" ref="L39" si="118">AD39 /1000</f>
        <v>500982.886</v>
      </c>
      <c r="M39" s="71"/>
      <c r="O39" s="1569" t="s">
        <v>433</v>
      </c>
      <c r="P39" s="1569" t="s">
        <v>433</v>
      </c>
      <c r="Q39" s="1569" t="s">
        <v>433</v>
      </c>
      <c r="R39" s="1569" t="s">
        <v>433</v>
      </c>
      <c r="S39" s="1569" t="s">
        <v>433</v>
      </c>
      <c r="T39" s="1569" t="s">
        <v>433</v>
      </c>
      <c r="U39" s="1569" t="s">
        <v>433</v>
      </c>
      <c r="V39" s="1569" t="s">
        <v>433</v>
      </c>
      <c r="W39" s="1651">
        <v>2206478896</v>
      </c>
      <c r="X39" s="1651">
        <v>44859989</v>
      </c>
      <c r="Y39" s="1651">
        <v>234628748</v>
      </c>
      <c r="Z39" s="1651">
        <v>115912829</v>
      </c>
      <c r="AA39" s="1651">
        <v>187540576</v>
      </c>
      <c r="AB39" s="1651">
        <v>683704764</v>
      </c>
      <c r="AC39" s="1651">
        <v>438849104</v>
      </c>
      <c r="AD39" s="1651">
        <v>500982886</v>
      </c>
    </row>
    <row r="40" spans="1:30" ht="22.5" customHeight="1">
      <c r="A40" s="1994"/>
      <c r="B40" s="2023"/>
      <c r="C40" s="76" t="s">
        <v>189</v>
      </c>
      <c r="D40" s="77" t="s">
        <v>176</v>
      </c>
      <c r="E40" s="1466">
        <f t="shared" ref="E40:L40" si="119">IF(ISERR(E39/E38),"      －",E39/E38*1000)</f>
        <v>35982.434989644658</v>
      </c>
      <c r="F40" s="1466">
        <f t="shared" si="119"/>
        <v>13093.983946293054</v>
      </c>
      <c r="G40" s="1466">
        <f t="shared" si="119"/>
        <v>7950.0134855826245</v>
      </c>
      <c r="H40" s="1466">
        <f t="shared" si="119"/>
        <v>81114.645906228136</v>
      </c>
      <c r="I40" s="1466">
        <f t="shared" si="119"/>
        <v>66268.754770318032</v>
      </c>
      <c r="J40" s="1466">
        <f t="shared" si="119"/>
        <v>118267.55993772703</v>
      </c>
      <c r="K40" s="1466">
        <f t="shared" si="119"/>
        <v>34141.053679788391</v>
      </c>
      <c r="L40" s="1466">
        <f t="shared" si="119"/>
        <v>91286.969023323618</v>
      </c>
      <c r="M40" s="71"/>
      <c r="O40" s="1569" t="s">
        <v>433</v>
      </c>
      <c r="P40" s="1569" t="s">
        <v>433</v>
      </c>
      <c r="Q40" s="1569" t="s">
        <v>433</v>
      </c>
      <c r="R40" s="1569" t="s">
        <v>433</v>
      </c>
      <c r="S40" s="1569" t="s">
        <v>433</v>
      </c>
      <c r="T40" s="1569" t="s">
        <v>433</v>
      </c>
      <c r="U40" s="1569" t="s">
        <v>433</v>
      </c>
      <c r="V40" s="1569" t="s">
        <v>433</v>
      </c>
      <c r="W40" s="1569" t="s">
        <v>433</v>
      </c>
      <c r="X40" s="1569" t="s">
        <v>433</v>
      </c>
      <c r="Y40" s="1569" t="s">
        <v>433</v>
      </c>
      <c r="Z40" s="1569" t="s">
        <v>433</v>
      </c>
      <c r="AA40" s="1569" t="s">
        <v>433</v>
      </c>
      <c r="AB40" s="1569" t="s">
        <v>433</v>
      </c>
      <c r="AC40" s="1569" t="s">
        <v>433</v>
      </c>
      <c r="AD40" s="1569" t="s">
        <v>433</v>
      </c>
    </row>
    <row r="42" spans="1:30" s="22" customFormat="1" ht="24" customHeight="1">
      <c r="A42" s="757" t="s">
        <v>536</v>
      </c>
      <c r="B42" s="757"/>
      <c r="C42" s="754"/>
      <c r="I42" s="605"/>
      <c r="O42" s="1472" t="s">
        <v>934</v>
      </c>
      <c r="P42" s="819"/>
      <c r="Q42" s="819"/>
      <c r="R42" s="819"/>
      <c r="S42" s="1117"/>
      <c r="T42" s="819"/>
      <c r="U42" s="819"/>
      <c r="V42" s="819"/>
      <c r="W42" s="1472" t="s">
        <v>415</v>
      </c>
      <c r="X42" s="819"/>
      <c r="Y42" s="819"/>
      <c r="Z42" s="819"/>
      <c r="AA42" s="1117"/>
      <c r="AB42" s="819"/>
      <c r="AC42" s="819"/>
      <c r="AD42" s="819"/>
    </row>
    <row r="43" spans="1:30" s="69" customFormat="1" ht="21" customHeight="1">
      <c r="A43" s="2060" t="s">
        <v>182</v>
      </c>
      <c r="B43" s="2060"/>
      <c r="C43" s="2060"/>
      <c r="D43" s="2060"/>
      <c r="E43" s="25"/>
      <c r="F43" s="2060" t="s">
        <v>190</v>
      </c>
      <c r="G43" s="2060"/>
      <c r="H43" s="66"/>
      <c r="I43" s="67" t="s">
        <v>191</v>
      </c>
      <c r="J43" s="68"/>
      <c r="K43" s="65"/>
      <c r="L43" s="25"/>
      <c r="O43" s="1400"/>
      <c r="P43" s="1401" t="s">
        <v>190</v>
      </c>
      <c r="Q43" s="1401"/>
      <c r="R43" s="1402"/>
      <c r="S43" s="974" t="s">
        <v>191</v>
      </c>
      <c r="T43" s="1403"/>
      <c r="U43" s="1404"/>
      <c r="V43" s="1400"/>
      <c r="W43" s="1400"/>
      <c r="X43" s="1401" t="s">
        <v>190</v>
      </c>
      <c r="Y43" s="1401"/>
      <c r="Z43" s="1402"/>
      <c r="AA43" s="974" t="s">
        <v>191</v>
      </c>
      <c r="AB43" s="1403"/>
      <c r="AC43" s="1404"/>
      <c r="AD43" s="1400"/>
    </row>
    <row r="44" spans="1:30" s="69" customFormat="1" ht="21" customHeight="1">
      <c r="A44" s="2060"/>
      <c r="B44" s="2060"/>
      <c r="C44" s="2060"/>
      <c r="D44" s="2060"/>
      <c r="E44" s="18" t="s">
        <v>192</v>
      </c>
      <c r="F44" s="25"/>
      <c r="G44" s="25"/>
      <c r="H44" s="18"/>
      <c r="I44" s="18"/>
      <c r="J44" s="18"/>
      <c r="K44" s="18"/>
      <c r="L44" s="16" t="s">
        <v>183</v>
      </c>
      <c r="O44" s="1406" t="s">
        <v>192</v>
      </c>
      <c r="P44" s="975" t="s">
        <v>184</v>
      </c>
      <c r="Q44" s="975" t="s">
        <v>98</v>
      </c>
      <c r="R44" s="975" t="s">
        <v>184</v>
      </c>
      <c r="S44" s="975" t="s">
        <v>185</v>
      </c>
      <c r="T44" s="975" t="s">
        <v>186</v>
      </c>
      <c r="U44" s="975" t="s">
        <v>98</v>
      </c>
      <c r="V44" s="975" t="s">
        <v>183</v>
      </c>
      <c r="W44" s="1406" t="s">
        <v>192</v>
      </c>
      <c r="X44" s="975" t="s">
        <v>184</v>
      </c>
      <c r="Y44" s="975" t="s">
        <v>98</v>
      </c>
      <c r="Z44" s="975" t="s">
        <v>184</v>
      </c>
      <c r="AA44" s="975" t="s">
        <v>185</v>
      </c>
      <c r="AB44" s="975" t="s">
        <v>186</v>
      </c>
      <c r="AC44" s="975" t="s">
        <v>98</v>
      </c>
      <c r="AD44" s="975" t="s">
        <v>183</v>
      </c>
    </row>
    <row r="45" spans="1:30" s="69" customFormat="1" ht="21" customHeight="1">
      <c r="A45" s="2060"/>
      <c r="B45" s="2060"/>
      <c r="C45" s="2060"/>
      <c r="D45" s="2060"/>
      <c r="E45" s="41"/>
      <c r="F45" s="72" t="s">
        <v>184</v>
      </c>
      <c r="G45" s="72" t="s">
        <v>98</v>
      </c>
      <c r="H45" s="16" t="s">
        <v>184</v>
      </c>
      <c r="I45" s="16" t="s">
        <v>185</v>
      </c>
      <c r="J45" s="16" t="s">
        <v>186</v>
      </c>
      <c r="K45" s="16" t="s">
        <v>98</v>
      </c>
      <c r="L45" s="41"/>
      <c r="O45" s="1475" t="s">
        <v>1011</v>
      </c>
      <c r="P45" s="1475" t="s">
        <v>1012</v>
      </c>
      <c r="Q45" s="1475" t="s">
        <v>1013</v>
      </c>
      <c r="R45" s="1475" t="s">
        <v>1014</v>
      </c>
      <c r="S45" s="1475" t="s">
        <v>1015</v>
      </c>
      <c r="T45" s="1475" t="s">
        <v>1016</v>
      </c>
      <c r="U45" s="1475" t="s">
        <v>1017</v>
      </c>
      <c r="V45" s="1475" t="s">
        <v>1018</v>
      </c>
      <c r="W45" s="1475" t="s">
        <v>1019</v>
      </c>
      <c r="X45" s="1475" t="s">
        <v>1020</v>
      </c>
      <c r="Y45" s="1475" t="s">
        <v>1021</v>
      </c>
      <c r="Z45" s="1475" t="s">
        <v>1022</v>
      </c>
      <c r="AA45" s="1475" t="s">
        <v>1023</v>
      </c>
      <c r="AB45" s="1475" t="s">
        <v>1024</v>
      </c>
      <c r="AC45" s="1475" t="s">
        <v>1025</v>
      </c>
      <c r="AD45" s="1474" t="s">
        <v>1026</v>
      </c>
    </row>
    <row r="46" spans="1:30" ht="22.5" customHeight="1">
      <c r="A46" s="2024" t="s">
        <v>594</v>
      </c>
      <c r="B46" s="2058"/>
      <c r="C46" s="73" t="s">
        <v>187</v>
      </c>
      <c r="D46" s="70" t="s">
        <v>180</v>
      </c>
      <c r="E46" s="1478">
        <f>O46</f>
        <v>49892</v>
      </c>
      <c r="F46" s="1483">
        <f t="shared" ref="F46" si="120">P46</f>
        <v>9931</v>
      </c>
      <c r="G46" s="1483">
        <f t="shared" ref="G46" si="121">Q46</f>
        <v>12385</v>
      </c>
      <c r="H46" s="1483">
        <f t="shared" ref="H46" si="122">R46</f>
        <v>4803</v>
      </c>
      <c r="I46" s="1483">
        <f t="shared" ref="I46" si="123">S46</f>
        <v>7100</v>
      </c>
      <c r="J46" s="1483">
        <f t="shared" ref="J46" si="124">T46</f>
        <v>7135</v>
      </c>
      <c r="K46" s="1483">
        <f t="shared" ref="K46" si="125">U46</f>
        <v>2240</v>
      </c>
      <c r="L46" s="1483">
        <f t="shared" ref="L46" si="126">V46</f>
        <v>6298</v>
      </c>
      <c r="O46" s="1571">
        <v>49892</v>
      </c>
      <c r="P46" s="1571">
        <v>9931</v>
      </c>
      <c r="Q46" s="1571">
        <v>12385</v>
      </c>
      <c r="R46" s="1571">
        <v>4803</v>
      </c>
      <c r="S46" s="1571">
        <v>7100</v>
      </c>
      <c r="T46" s="1571">
        <v>7135</v>
      </c>
      <c r="U46" s="1571">
        <v>2240</v>
      </c>
      <c r="V46" s="1571">
        <v>6298</v>
      </c>
      <c r="W46" s="1569" t="s">
        <v>433</v>
      </c>
      <c r="X46" s="1569" t="s">
        <v>433</v>
      </c>
      <c r="Y46" s="1569" t="s">
        <v>433</v>
      </c>
      <c r="Z46" s="1569" t="s">
        <v>433</v>
      </c>
      <c r="AA46" s="1569" t="s">
        <v>433</v>
      </c>
      <c r="AB46" s="1569" t="s">
        <v>433</v>
      </c>
      <c r="AC46" s="1569" t="s">
        <v>433</v>
      </c>
      <c r="AD46" s="1569" t="s">
        <v>433</v>
      </c>
    </row>
    <row r="47" spans="1:30" ht="22.5" customHeight="1">
      <c r="A47" s="1993"/>
      <c r="B47" s="2022"/>
      <c r="C47" s="74" t="s">
        <v>188</v>
      </c>
      <c r="D47" s="75" t="s">
        <v>154</v>
      </c>
      <c r="E47" s="1479">
        <f>W47 /1000</f>
        <v>5020250.1059999997</v>
      </c>
      <c r="F47" s="1482">
        <f t="shared" ref="F47" si="127">X47 /1000</f>
        <v>394587.576</v>
      </c>
      <c r="G47" s="1482">
        <f t="shared" ref="G47" si="128">Y47 /1000</f>
        <v>450277.85600000003</v>
      </c>
      <c r="H47" s="1482">
        <f t="shared" ref="H47" si="129">Z47 /1000</f>
        <v>698247.95299999998</v>
      </c>
      <c r="I47" s="1482">
        <f t="shared" ref="I47" si="130">AA47 /1000</f>
        <v>629753.64099999995</v>
      </c>
      <c r="J47" s="1482">
        <f t="shared" ref="J47" si="131">AB47 /1000</f>
        <v>1467604.8089999999</v>
      </c>
      <c r="K47" s="1482">
        <f t="shared" ref="K47" si="132">AC47 /1000</f>
        <v>190251.677</v>
      </c>
      <c r="L47" s="1482">
        <f t="shared" ref="L47" si="133">AD47 /1000</f>
        <v>1189526.594</v>
      </c>
      <c r="O47" s="1569" t="s">
        <v>433</v>
      </c>
      <c r="P47" s="1569" t="s">
        <v>433</v>
      </c>
      <c r="Q47" s="1569" t="s">
        <v>433</v>
      </c>
      <c r="R47" s="1569" t="s">
        <v>433</v>
      </c>
      <c r="S47" s="1569" t="s">
        <v>433</v>
      </c>
      <c r="T47" s="1569" t="s">
        <v>433</v>
      </c>
      <c r="U47" s="1569" t="s">
        <v>433</v>
      </c>
      <c r="V47" s="1569" t="s">
        <v>433</v>
      </c>
      <c r="W47" s="1571">
        <v>5020250106</v>
      </c>
      <c r="X47" s="1571">
        <v>394587576</v>
      </c>
      <c r="Y47" s="1571">
        <v>450277856</v>
      </c>
      <c r="Z47" s="1571">
        <v>698247953</v>
      </c>
      <c r="AA47" s="1571">
        <v>629753641</v>
      </c>
      <c r="AB47" s="1571">
        <v>1467604809</v>
      </c>
      <c r="AC47" s="1571">
        <v>190251677</v>
      </c>
      <c r="AD47" s="1652">
        <v>1189526594</v>
      </c>
    </row>
    <row r="48" spans="1:30" ht="22.5" customHeight="1" thickBot="1">
      <c r="A48" s="2027"/>
      <c r="B48" s="2048"/>
      <c r="C48" s="1162" t="s">
        <v>189</v>
      </c>
      <c r="D48" s="1163" t="s">
        <v>176</v>
      </c>
      <c r="E48" s="1148">
        <f t="shared" ref="E48:L48" si="134">IF(ISERR(E47/E46),"－",E47/E46*1000)</f>
        <v>100622.34638819851</v>
      </c>
      <c r="F48" s="1148">
        <f t="shared" si="134"/>
        <v>39732.914711509417</v>
      </c>
      <c r="G48" s="1148">
        <f t="shared" si="134"/>
        <v>36356.710213968508</v>
      </c>
      <c r="H48" s="1148">
        <f t="shared" si="134"/>
        <v>145377.46262752445</v>
      </c>
      <c r="I48" s="1148">
        <f t="shared" si="134"/>
        <v>88697.69591549295</v>
      </c>
      <c r="J48" s="1148">
        <f t="shared" si="134"/>
        <v>205690.93328661527</v>
      </c>
      <c r="K48" s="1148">
        <f t="shared" si="134"/>
        <v>84933.784375000003</v>
      </c>
      <c r="L48" s="1148">
        <f t="shared" si="134"/>
        <v>188873.70498570977</v>
      </c>
      <c r="O48" s="1569" t="s">
        <v>433</v>
      </c>
      <c r="P48" s="1569" t="s">
        <v>433</v>
      </c>
      <c r="Q48" s="1569" t="s">
        <v>433</v>
      </c>
      <c r="R48" s="1569" t="s">
        <v>433</v>
      </c>
      <c r="S48" s="1569" t="s">
        <v>433</v>
      </c>
      <c r="T48" s="1569" t="s">
        <v>433</v>
      </c>
      <c r="U48" s="1569" t="s">
        <v>433</v>
      </c>
      <c r="V48" s="1569" t="s">
        <v>433</v>
      </c>
      <c r="W48" s="1569" t="s">
        <v>433</v>
      </c>
      <c r="X48" s="1569" t="s">
        <v>433</v>
      </c>
      <c r="Y48" s="1569" t="s">
        <v>433</v>
      </c>
      <c r="Z48" s="1569" t="s">
        <v>433</v>
      </c>
      <c r="AA48" s="1569" t="s">
        <v>433</v>
      </c>
      <c r="AB48" s="1569" t="s">
        <v>433</v>
      </c>
      <c r="AC48" s="1569" t="s">
        <v>433</v>
      </c>
      <c r="AD48" s="1569" t="s">
        <v>433</v>
      </c>
    </row>
    <row r="49" spans="1:30" ht="22.5" customHeight="1" thickTop="1">
      <c r="A49" s="1993" t="s">
        <v>589</v>
      </c>
      <c r="B49" s="2022"/>
      <c r="C49" s="74" t="s">
        <v>187</v>
      </c>
      <c r="D49" s="1161" t="s">
        <v>180</v>
      </c>
      <c r="E49" s="1480">
        <f>O49</f>
        <v>38075</v>
      </c>
      <c r="F49" s="1481">
        <f t="shared" ref="F49" si="135">P49</f>
        <v>7627</v>
      </c>
      <c r="G49" s="1481">
        <f t="shared" ref="G49" si="136">Q49</f>
        <v>9170</v>
      </c>
      <c r="H49" s="1481">
        <f t="shared" ref="H49" si="137">R49</f>
        <v>3726</v>
      </c>
      <c r="I49" s="1481">
        <f t="shared" ref="I49" si="138">S49</f>
        <v>5692</v>
      </c>
      <c r="J49" s="1481">
        <f t="shared" ref="J49" si="139">T49</f>
        <v>5281</v>
      </c>
      <c r="K49" s="1481">
        <f t="shared" ref="K49" si="140">U49</f>
        <v>1812</v>
      </c>
      <c r="L49" s="1481">
        <f t="shared" ref="L49" si="141">V49</f>
        <v>4767</v>
      </c>
      <c r="O49" s="1571">
        <v>38075</v>
      </c>
      <c r="P49" s="1571">
        <v>7627</v>
      </c>
      <c r="Q49" s="1571">
        <v>9170</v>
      </c>
      <c r="R49" s="1571">
        <v>3726</v>
      </c>
      <c r="S49" s="1571">
        <v>5692</v>
      </c>
      <c r="T49" s="1571">
        <v>5281</v>
      </c>
      <c r="U49" s="1571">
        <v>1812</v>
      </c>
      <c r="V49" s="1571">
        <v>4767</v>
      </c>
      <c r="W49" s="1569" t="s">
        <v>433</v>
      </c>
      <c r="X49" s="1569" t="s">
        <v>433</v>
      </c>
      <c r="Y49" s="1569" t="s">
        <v>433</v>
      </c>
      <c r="Z49" s="1569" t="s">
        <v>433</v>
      </c>
      <c r="AA49" s="1569" t="s">
        <v>433</v>
      </c>
      <c r="AB49" s="1569" t="s">
        <v>433</v>
      </c>
      <c r="AC49" s="1569" t="s">
        <v>433</v>
      </c>
      <c r="AD49" s="1569" t="s">
        <v>433</v>
      </c>
    </row>
    <row r="50" spans="1:30" ht="22.5" customHeight="1">
      <c r="A50" s="1993"/>
      <c r="B50" s="2022"/>
      <c r="C50" s="74" t="s">
        <v>188</v>
      </c>
      <c r="D50" s="75" t="s">
        <v>154</v>
      </c>
      <c r="E50" s="1479">
        <f>W50 /1000</f>
        <v>3843764.5010000002</v>
      </c>
      <c r="F50" s="1482">
        <f t="shared" ref="F50" si="142">X50 /1000</f>
        <v>301749.24699999997</v>
      </c>
      <c r="G50" s="1482">
        <f t="shared" ref="G50" si="143">Y50 /1000</f>
        <v>347108.5</v>
      </c>
      <c r="H50" s="1482">
        <f t="shared" ref="H50" si="144">Z50 /1000</f>
        <v>530720.28700000001</v>
      </c>
      <c r="I50" s="1482">
        <f t="shared" ref="I50" si="145">AA50 /1000</f>
        <v>494075.44400000002</v>
      </c>
      <c r="J50" s="1482">
        <f t="shared" ref="J50" si="146">AB50 /1000</f>
        <v>1091349.2590000001</v>
      </c>
      <c r="K50" s="1482">
        <f t="shared" ref="K50" si="147">AC50 /1000</f>
        <v>153173.185</v>
      </c>
      <c r="L50" s="1482">
        <f t="shared" ref="L50" si="148">AD50 /1000</f>
        <v>925588.57900000003</v>
      </c>
      <c r="O50" s="1569" t="s">
        <v>433</v>
      </c>
      <c r="P50" s="1569" t="s">
        <v>433</v>
      </c>
      <c r="Q50" s="1569" t="s">
        <v>433</v>
      </c>
      <c r="R50" s="1569" t="s">
        <v>433</v>
      </c>
      <c r="S50" s="1569" t="s">
        <v>433</v>
      </c>
      <c r="T50" s="1569" t="s">
        <v>433</v>
      </c>
      <c r="U50" s="1569" t="s">
        <v>433</v>
      </c>
      <c r="V50" s="1569" t="s">
        <v>433</v>
      </c>
      <c r="W50" s="1571">
        <v>3843764501</v>
      </c>
      <c r="X50" s="1571">
        <v>301749247</v>
      </c>
      <c r="Y50" s="1571">
        <v>347108500</v>
      </c>
      <c r="Z50" s="1571">
        <v>530720287</v>
      </c>
      <c r="AA50" s="1571">
        <v>494075444</v>
      </c>
      <c r="AB50" s="1571">
        <v>1091349259</v>
      </c>
      <c r="AC50" s="1571">
        <v>153173185</v>
      </c>
      <c r="AD50" s="1652">
        <v>925588579</v>
      </c>
    </row>
    <row r="51" spans="1:30" ht="22.5" customHeight="1">
      <c r="A51" s="1993"/>
      <c r="B51" s="2023"/>
      <c r="C51" s="76" t="s">
        <v>189</v>
      </c>
      <c r="D51" s="77" t="s">
        <v>176</v>
      </c>
      <c r="E51" s="1111">
        <f t="shared" ref="E51:L51" si="149">IF(ISERR(E50/E49),"－",E50/E49*1000)</f>
        <v>100952.44913985554</v>
      </c>
      <c r="F51" s="1111">
        <f t="shared" si="149"/>
        <v>39563.294480136356</v>
      </c>
      <c r="G51" s="1111">
        <f t="shared" si="149"/>
        <v>37852.617230098149</v>
      </c>
      <c r="H51" s="1111">
        <f t="shared" si="149"/>
        <v>142437.00670960816</v>
      </c>
      <c r="I51" s="1111">
        <f t="shared" si="149"/>
        <v>86801.729444834869</v>
      </c>
      <c r="J51" s="1111">
        <f t="shared" si="149"/>
        <v>206655.79606135201</v>
      </c>
      <c r="K51" s="1111">
        <f t="shared" si="149"/>
        <v>84532.662803532003</v>
      </c>
      <c r="L51" s="1111">
        <f t="shared" si="149"/>
        <v>194165.84413677367</v>
      </c>
      <c r="O51" s="1569" t="s">
        <v>433</v>
      </c>
      <c r="P51" s="1569" t="s">
        <v>433</v>
      </c>
      <c r="Q51" s="1569" t="s">
        <v>433</v>
      </c>
      <c r="R51" s="1569" t="s">
        <v>433</v>
      </c>
      <c r="S51" s="1569" t="s">
        <v>433</v>
      </c>
      <c r="T51" s="1569" t="s">
        <v>433</v>
      </c>
      <c r="U51" s="1569" t="s">
        <v>433</v>
      </c>
      <c r="V51" s="1569" t="s">
        <v>433</v>
      </c>
      <c r="W51" s="1569" t="s">
        <v>433</v>
      </c>
      <c r="X51" s="1569" t="s">
        <v>433</v>
      </c>
      <c r="Y51" s="1569" t="s">
        <v>433</v>
      </c>
      <c r="Z51" s="1569" t="s">
        <v>433</v>
      </c>
      <c r="AA51" s="1569" t="s">
        <v>433</v>
      </c>
      <c r="AB51" s="1569" t="s">
        <v>433</v>
      </c>
      <c r="AC51" s="1569" t="s">
        <v>433</v>
      </c>
      <c r="AD51" s="1569" t="s">
        <v>433</v>
      </c>
    </row>
    <row r="52" spans="1:30" ht="22.5" customHeight="1">
      <c r="A52" s="1145"/>
      <c r="B52" s="2059" t="s">
        <v>590</v>
      </c>
      <c r="C52" s="73" t="s">
        <v>187</v>
      </c>
      <c r="D52" s="70" t="s">
        <v>180</v>
      </c>
      <c r="E52" s="1478">
        <f>O52</f>
        <v>26084</v>
      </c>
      <c r="F52" s="1483">
        <f t="shared" ref="F52" si="150">P52</f>
        <v>5270</v>
      </c>
      <c r="G52" s="1483">
        <f t="shared" ref="G52" si="151">Q52</f>
        <v>6368</v>
      </c>
      <c r="H52" s="1483">
        <f t="shared" ref="H52" si="152">R52</f>
        <v>2506</v>
      </c>
      <c r="I52" s="1483">
        <f t="shared" ref="I52" si="153">S52</f>
        <v>4137</v>
      </c>
      <c r="J52" s="1483">
        <f t="shared" ref="J52" si="154">T52</f>
        <v>3429</v>
      </c>
      <c r="K52" s="1483">
        <f t="shared" ref="K52" si="155">U52</f>
        <v>1034</v>
      </c>
      <c r="L52" s="1483">
        <f t="shared" ref="L52" si="156">V52</f>
        <v>3340</v>
      </c>
      <c r="O52" s="1571">
        <v>26084</v>
      </c>
      <c r="P52" s="1571">
        <v>5270</v>
      </c>
      <c r="Q52" s="1571">
        <v>6368</v>
      </c>
      <c r="R52" s="1571">
        <v>2506</v>
      </c>
      <c r="S52" s="1571">
        <v>4137</v>
      </c>
      <c r="T52" s="1571">
        <v>3429</v>
      </c>
      <c r="U52" s="1571">
        <v>1034</v>
      </c>
      <c r="V52" s="1571">
        <v>3340</v>
      </c>
      <c r="W52" s="1569" t="s">
        <v>433</v>
      </c>
      <c r="X52" s="1569" t="s">
        <v>433</v>
      </c>
      <c r="Y52" s="1569" t="s">
        <v>433</v>
      </c>
      <c r="Z52" s="1569" t="s">
        <v>433</v>
      </c>
      <c r="AA52" s="1569" t="s">
        <v>433</v>
      </c>
      <c r="AB52" s="1569" t="s">
        <v>433</v>
      </c>
      <c r="AC52" s="1569" t="s">
        <v>433</v>
      </c>
      <c r="AD52" s="1569" t="s">
        <v>433</v>
      </c>
    </row>
    <row r="53" spans="1:30" ht="22.5" customHeight="1">
      <c r="A53" s="1145"/>
      <c r="B53" s="2020"/>
      <c r="C53" s="74" t="s">
        <v>188</v>
      </c>
      <c r="D53" s="75" t="s">
        <v>154</v>
      </c>
      <c r="E53" s="1479">
        <f>W53 /1000</f>
        <v>2691075.5559999999</v>
      </c>
      <c r="F53" s="1482">
        <f t="shared" ref="F53" si="157">X53 /1000</f>
        <v>211781.592</v>
      </c>
      <c r="G53" s="1482">
        <f t="shared" ref="G53" si="158">Y53 /1000</f>
        <v>248290.99299999999</v>
      </c>
      <c r="H53" s="1482">
        <f t="shared" ref="H53" si="159">Z53 /1000</f>
        <v>364632.39600000001</v>
      </c>
      <c r="I53" s="1482">
        <f t="shared" ref="I53" si="160">AA53 /1000</f>
        <v>370611.19799999997</v>
      </c>
      <c r="J53" s="1482">
        <f t="shared" ref="J53" si="161">AB53 /1000</f>
        <v>731955.13100000005</v>
      </c>
      <c r="K53" s="1482">
        <f t="shared" ref="K53" si="162">AC53 /1000</f>
        <v>101709.87699999999</v>
      </c>
      <c r="L53" s="1482">
        <f t="shared" ref="L53" si="163">AD53 /1000</f>
        <v>662094.36899999995</v>
      </c>
      <c r="O53" s="1569" t="s">
        <v>433</v>
      </c>
      <c r="P53" s="1569" t="s">
        <v>433</v>
      </c>
      <c r="Q53" s="1569" t="s">
        <v>433</v>
      </c>
      <c r="R53" s="1569" t="s">
        <v>433</v>
      </c>
      <c r="S53" s="1569" t="s">
        <v>433</v>
      </c>
      <c r="T53" s="1569" t="s">
        <v>433</v>
      </c>
      <c r="U53" s="1569" t="s">
        <v>433</v>
      </c>
      <c r="V53" s="1569" t="s">
        <v>433</v>
      </c>
      <c r="W53" s="1571">
        <v>2691075556</v>
      </c>
      <c r="X53" s="1571">
        <v>211781592</v>
      </c>
      <c r="Y53" s="1571">
        <v>248290993</v>
      </c>
      <c r="Z53" s="1571">
        <v>364632396</v>
      </c>
      <c r="AA53" s="1571">
        <v>370611198</v>
      </c>
      <c r="AB53" s="1571">
        <v>731955131</v>
      </c>
      <c r="AC53" s="1571">
        <v>101709877</v>
      </c>
      <c r="AD53" s="1652">
        <v>662094369</v>
      </c>
    </row>
    <row r="54" spans="1:30" ht="22.5" customHeight="1">
      <c r="A54" s="1145"/>
      <c r="B54" s="2021"/>
      <c r="C54" s="76" t="s">
        <v>189</v>
      </c>
      <c r="D54" s="77" t="s">
        <v>176</v>
      </c>
      <c r="E54" s="1111">
        <f t="shared" ref="E54:L54" si="164">IF(ISERR(E53/E52),"－",E53/E52*1000)</f>
        <v>103169.58886673822</v>
      </c>
      <c r="F54" s="1111">
        <f t="shared" si="164"/>
        <v>40186.260341555979</v>
      </c>
      <c r="G54" s="1111">
        <f t="shared" si="164"/>
        <v>38990.419755025119</v>
      </c>
      <c r="H54" s="1111">
        <f t="shared" si="164"/>
        <v>145503.74940143654</v>
      </c>
      <c r="I54" s="1111">
        <f t="shared" si="164"/>
        <v>89584.529369108044</v>
      </c>
      <c r="J54" s="1111">
        <f t="shared" si="164"/>
        <v>213460.2306794984</v>
      </c>
      <c r="K54" s="1111">
        <f t="shared" si="164"/>
        <v>98365.451644100569</v>
      </c>
      <c r="L54" s="1111">
        <f t="shared" si="164"/>
        <v>198231.84700598801</v>
      </c>
      <c r="O54" s="1569" t="s">
        <v>433</v>
      </c>
      <c r="P54" s="1569" t="s">
        <v>433</v>
      </c>
      <c r="Q54" s="1569" t="s">
        <v>433</v>
      </c>
      <c r="R54" s="1569" t="s">
        <v>433</v>
      </c>
      <c r="S54" s="1569" t="s">
        <v>433</v>
      </c>
      <c r="T54" s="1569" t="s">
        <v>433</v>
      </c>
      <c r="U54" s="1569" t="s">
        <v>433</v>
      </c>
      <c r="V54" s="1569" t="s">
        <v>433</v>
      </c>
      <c r="W54" s="1569" t="s">
        <v>433</v>
      </c>
      <c r="X54" s="1569" t="s">
        <v>433</v>
      </c>
      <c r="Y54" s="1569" t="s">
        <v>433</v>
      </c>
      <c r="Z54" s="1569" t="s">
        <v>433</v>
      </c>
      <c r="AA54" s="1569" t="s">
        <v>433</v>
      </c>
      <c r="AB54" s="1569" t="s">
        <v>433</v>
      </c>
      <c r="AC54" s="1569" t="s">
        <v>433</v>
      </c>
      <c r="AD54" s="1569" t="s">
        <v>433</v>
      </c>
    </row>
    <row r="55" spans="1:30" ht="22.5" customHeight="1">
      <c r="A55" s="1145"/>
      <c r="B55" s="2020" t="s">
        <v>591</v>
      </c>
      <c r="C55" s="73" t="s">
        <v>187</v>
      </c>
      <c r="D55" s="70" t="s">
        <v>180</v>
      </c>
      <c r="E55" s="1478">
        <f>O55</f>
        <v>11991</v>
      </c>
      <c r="F55" s="1483">
        <f t="shared" ref="F55" si="165">P55</f>
        <v>2357</v>
      </c>
      <c r="G55" s="1483">
        <f t="shared" ref="G55" si="166">Q55</f>
        <v>2802</v>
      </c>
      <c r="H55" s="1483">
        <f t="shared" ref="H55" si="167">R55</f>
        <v>1220</v>
      </c>
      <c r="I55" s="1483">
        <f t="shared" ref="I55" si="168">S55</f>
        <v>1555</v>
      </c>
      <c r="J55" s="1483">
        <f t="shared" ref="J55" si="169">T55</f>
        <v>1852</v>
      </c>
      <c r="K55" s="1483">
        <f t="shared" ref="K55" si="170">U55</f>
        <v>778</v>
      </c>
      <c r="L55" s="1483">
        <f t="shared" ref="L55" si="171">V55</f>
        <v>1427</v>
      </c>
      <c r="O55" s="1571">
        <v>11991</v>
      </c>
      <c r="P55" s="1571">
        <v>2357</v>
      </c>
      <c r="Q55" s="1571">
        <v>2802</v>
      </c>
      <c r="R55" s="1571">
        <v>1220</v>
      </c>
      <c r="S55" s="1571">
        <v>1555</v>
      </c>
      <c r="T55" s="1571">
        <v>1852</v>
      </c>
      <c r="U55" s="1571">
        <v>778</v>
      </c>
      <c r="V55" s="1571">
        <v>1427</v>
      </c>
      <c r="W55" s="1569" t="s">
        <v>433</v>
      </c>
      <c r="X55" s="1569" t="s">
        <v>433</v>
      </c>
      <c r="Y55" s="1569" t="s">
        <v>433</v>
      </c>
      <c r="Z55" s="1569" t="s">
        <v>433</v>
      </c>
      <c r="AA55" s="1569" t="s">
        <v>433</v>
      </c>
      <c r="AB55" s="1569" t="s">
        <v>433</v>
      </c>
      <c r="AC55" s="1569" t="s">
        <v>433</v>
      </c>
      <c r="AD55" s="1569" t="s">
        <v>433</v>
      </c>
    </row>
    <row r="56" spans="1:30" ht="22.5" customHeight="1">
      <c r="A56" s="1145"/>
      <c r="B56" s="2020"/>
      <c r="C56" s="74" t="s">
        <v>188</v>
      </c>
      <c r="D56" s="75" t="s">
        <v>154</v>
      </c>
      <c r="E56" s="1479">
        <f>W56 /1000</f>
        <v>1152688.9450000001</v>
      </c>
      <c r="F56" s="1482">
        <f t="shared" ref="F56" si="172">X56 /1000</f>
        <v>89967.654999999999</v>
      </c>
      <c r="G56" s="1482">
        <f t="shared" ref="G56" si="173">Y56 /1000</f>
        <v>98817.506999999998</v>
      </c>
      <c r="H56" s="1482">
        <f t="shared" ref="H56" si="174">Z56 /1000</f>
        <v>166087.891</v>
      </c>
      <c r="I56" s="1482">
        <f t="shared" ref="I56" si="175">AA56 /1000</f>
        <v>123464.246</v>
      </c>
      <c r="J56" s="1482">
        <f t="shared" ref="J56" si="176">AB56 /1000</f>
        <v>359394.12800000003</v>
      </c>
      <c r="K56" s="1482">
        <f t="shared" ref="K56" si="177">AC56 /1000</f>
        <v>51463.307999999997</v>
      </c>
      <c r="L56" s="1482">
        <f t="shared" ref="L56" si="178">AD56 /1000</f>
        <v>263494.21000000002</v>
      </c>
      <c r="O56" s="1569" t="s">
        <v>433</v>
      </c>
      <c r="P56" s="1569" t="s">
        <v>433</v>
      </c>
      <c r="Q56" s="1569" t="s">
        <v>433</v>
      </c>
      <c r="R56" s="1569" t="s">
        <v>433</v>
      </c>
      <c r="S56" s="1569" t="s">
        <v>433</v>
      </c>
      <c r="T56" s="1569" t="s">
        <v>433</v>
      </c>
      <c r="U56" s="1569" t="s">
        <v>433</v>
      </c>
      <c r="V56" s="1569" t="s">
        <v>433</v>
      </c>
      <c r="W56" s="1571">
        <v>1152688945</v>
      </c>
      <c r="X56" s="1571">
        <v>89967655</v>
      </c>
      <c r="Y56" s="1571">
        <v>98817507</v>
      </c>
      <c r="Z56" s="1571">
        <v>166087891</v>
      </c>
      <c r="AA56" s="1571">
        <v>123464246</v>
      </c>
      <c r="AB56" s="1571">
        <v>359394128</v>
      </c>
      <c r="AC56" s="1571">
        <v>51463308</v>
      </c>
      <c r="AD56" s="1652">
        <v>263494210</v>
      </c>
    </row>
    <row r="57" spans="1:30" ht="22.5" customHeight="1" thickBot="1">
      <c r="A57" s="1147"/>
      <c r="B57" s="2037"/>
      <c r="C57" s="1162" t="s">
        <v>189</v>
      </c>
      <c r="D57" s="1163" t="s">
        <v>176</v>
      </c>
      <c r="E57" s="1148">
        <f t="shared" ref="E57:L57" si="179">IF(ISERR(E56/E55),"－",E56/E55*1000)</f>
        <v>96129.509215244761</v>
      </c>
      <c r="F57" s="1148">
        <f t="shared" si="179"/>
        <v>38170.40941875265</v>
      </c>
      <c r="G57" s="1148">
        <f t="shared" si="179"/>
        <v>35266.776231263386</v>
      </c>
      <c r="H57" s="1148">
        <f t="shared" si="179"/>
        <v>136137.61557377048</v>
      </c>
      <c r="I57" s="1148">
        <f t="shared" si="179"/>
        <v>79398.228938906759</v>
      </c>
      <c r="J57" s="1148">
        <f t="shared" si="179"/>
        <v>194057.30453563717</v>
      </c>
      <c r="K57" s="1148">
        <f t="shared" si="179"/>
        <v>66148.210796915169</v>
      </c>
      <c r="L57" s="1148">
        <f t="shared" si="179"/>
        <v>184649.06096706376</v>
      </c>
      <c r="O57" s="1569" t="s">
        <v>433</v>
      </c>
      <c r="P57" s="1569" t="s">
        <v>433</v>
      </c>
      <c r="Q57" s="1569" t="s">
        <v>433</v>
      </c>
      <c r="R57" s="1569" t="s">
        <v>433</v>
      </c>
      <c r="S57" s="1569" t="s">
        <v>433</v>
      </c>
      <c r="T57" s="1569" t="s">
        <v>433</v>
      </c>
      <c r="U57" s="1569" t="s">
        <v>433</v>
      </c>
      <c r="V57" s="1569" t="s">
        <v>433</v>
      </c>
      <c r="W57" s="1569" t="s">
        <v>433</v>
      </c>
      <c r="X57" s="1569" t="s">
        <v>433</v>
      </c>
      <c r="Y57" s="1569" t="s">
        <v>433</v>
      </c>
      <c r="Z57" s="1569" t="s">
        <v>433</v>
      </c>
      <c r="AA57" s="1569" t="s">
        <v>433</v>
      </c>
      <c r="AB57" s="1569" t="s">
        <v>433</v>
      </c>
      <c r="AC57" s="1569" t="s">
        <v>433</v>
      </c>
      <c r="AD57" s="1569" t="s">
        <v>433</v>
      </c>
    </row>
    <row r="58" spans="1:30" ht="22.5" customHeight="1" thickTop="1">
      <c r="A58" s="1993" t="s">
        <v>155</v>
      </c>
      <c r="B58" s="2022"/>
      <c r="C58" s="74" t="s">
        <v>187</v>
      </c>
      <c r="D58" s="1161" t="s">
        <v>180</v>
      </c>
      <c r="E58" s="1480">
        <f>O58</f>
        <v>11817</v>
      </c>
      <c r="F58" s="1481">
        <f t="shared" ref="F58" si="180">P58</f>
        <v>2304</v>
      </c>
      <c r="G58" s="1481">
        <f t="shared" ref="G58" si="181">Q58</f>
        <v>3215</v>
      </c>
      <c r="H58" s="1481">
        <f t="shared" ref="H58" si="182">R58</f>
        <v>1077</v>
      </c>
      <c r="I58" s="1481">
        <f t="shared" ref="I58" si="183">S58</f>
        <v>1408</v>
      </c>
      <c r="J58" s="1481">
        <f t="shared" ref="J58" si="184">T58</f>
        <v>1854</v>
      </c>
      <c r="K58" s="1481">
        <f t="shared" ref="K58" si="185">U58</f>
        <v>428</v>
      </c>
      <c r="L58" s="1481">
        <f t="shared" ref="L58" si="186">V58</f>
        <v>1531</v>
      </c>
      <c r="O58" s="1571">
        <v>11817</v>
      </c>
      <c r="P58" s="1571">
        <v>2304</v>
      </c>
      <c r="Q58" s="1571">
        <v>3215</v>
      </c>
      <c r="R58" s="1571">
        <v>1077</v>
      </c>
      <c r="S58" s="1571">
        <v>1408</v>
      </c>
      <c r="T58" s="1571">
        <v>1854</v>
      </c>
      <c r="U58" s="1571">
        <v>428</v>
      </c>
      <c r="V58" s="1571">
        <v>1531</v>
      </c>
      <c r="W58" s="1569" t="s">
        <v>433</v>
      </c>
      <c r="X58" s="1569" t="s">
        <v>433</v>
      </c>
      <c r="Y58" s="1569" t="s">
        <v>433</v>
      </c>
      <c r="Z58" s="1569" t="s">
        <v>433</v>
      </c>
      <c r="AA58" s="1569" t="s">
        <v>433</v>
      </c>
      <c r="AB58" s="1569" t="s">
        <v>433</v>
      </c>
      <c r="AC58" s="1569" t="s">
        <v>433</v>
      </c>
      <c r="AD58" s="1569" t="s">
        <v>433</v>
      </c>
    </row>
    <row r="59" spans="1:30" ht="22.5" customHeight="1">
      <c r="A59" s="1993"/>
      <c r="B59" s="2022"/>
      <c r="C59" s="74" t="s">
        <v>188</v>
      </c>
      <c r="D59" s="75" t="s">
        <v>154</v>
      </c>
      <c r="E59" s="1479">
        <f>W59 /1000</f>
        <v>1176485.605</v>
      </c>
      <c r="F59" s="1482">
        <f t="shared" ref="F59" si="187">X59 /1000</f>
        <v>92838.328999999998</v>
      </c>
      <c r="G59" s="1482">
        <f t="shared" ref="G59" si="188">Y59 /1000</f>
        <v>103169.356</v>
      </c>
      <c r="H59" s="1482">
        <f t="shared" ref="H59" si="189">Z59 /1000</f>
        <v>167527.666</v>
      </c>
      <c r="I59" s="1482">
        <f t="shared" ref="I59" si="190">AA59 /1000</f>
        <v>135678.19699999999</v>
      </c>
      <c r="J59" s="1482">
        <f t="shared" ref="J59" si="191">AB59 /1000</f>
        <v>376255.55</v>
      </c>
      <c r="K59" s="1482">
        <f t="shared" ref="K59" si="192">AC59 /1000</f>
        <v>37078.491999999998</v>
      </c>
      <c r="L59" s="1482">
        <f t="shared" ref="L59" si="193">AD59 /1000</f>
        <v>263938.01500000001</v>
      </c>
      <c r="O59" s="1569" t="s">
        <v>433</v>
      </c>
      <c r="P59" s="1569" t="s">
        <v>433</v>
      </c>
      <c r="Q59" s="1569" t="s">
        <v>433</v>
      </c>
      <c r="R59" s="1569" t="s">
        <v>433</v>
      </c>
      <c r="S59" s="1569" t="s">
        <v>433</v>
      </c>
      <c r="T59" s="1569" t="s">
        <v>433</v>
      </c>
      <c r="U59" s="1569" t="s">
        <v>433</v>
      </c>
      <c r="V59" s="1569" t="s">
        <v>433</v>
      </c>
      <c r="W59" s="1571">
        <v>1176485605</v>
      </c>
      <c r="X59" s="1571">
        <v>92838329</v>
      </c>
      <c r="Y59" s="1571">
        <v>103169356</v>
      </c>
      <c r="Z59" s="1571">
        <v>167527666</v>
      </c>
      <c r="AA59" s="1571">
        <v>135678197</v>
      </c>
      <c r="AB59" s="1571">
        <v>376255550</v>
      </c>
      <c r="AC59" s="1571">
        <v>37078492</v>
      </c>
      <c r="AD59" s="1652">
        <v>263938015</v>
      </c>
    </row>
    <row r="60" spans="1:30" ht="22.5" customHeight="1">
      <c r="A60" s="1994"/>
      <c r="B60" s="2023"/>
      <c r="C60" s="76" t="s">
        <v>189</v>
      </c>
      <c r="D60" s="77" t="s">
        <v>176</v>
      </c>
      <c r="E60" s="1112">
        <f t="shared" ref="E60:L60" si="194">IF(ISERR(E59/E58),"－",E59/E58*1000)</f>
        <v>99558.737835321997</v>
      </c>
      <c r="F60" s="1112">
        <f t="shared" si="194"/>
        <v>40294.413628472219</v>
      </c>
      <c r="G60" s="1112">
        <f t="shared" si="194"/>
        <v>32090.001866251947</v>
      </c>
      <c r="H60" s="1112">
        <f t="shared" si="194"/>
        <v>155550.29340761373</v>
      </c>
      <c r="I60" s="1112">
        <f t="shared" si="194"/>
        <v>96362.355823863618</v>
      </c>
      <c r="J60" s="1112">
        <f t="shared" si="194"/>
        <v>202942.5836030205</v>
      </c>
      <c r="K60" s="1112">
        <f t="shared" si="194"/>
        <v>86631.990654205612</v>
      </c>
      <c r="L60" s="1112">
        <f t="shared" si="194"/>
        <v>172395.82952318748</v>
      </c>
      <c r="O60" s="1569" t="s">
        <v>433</v>
      </c>
      <c r="P60" s="1569" t="s">
        <v>433</v>
      </c>
      <c r="Q60" s="1569" t="s">
        <v>433</v>
      </c>
      <c r="R60" s="1569" t="s">
        <v>433</v>
      </c>
      <c r="S60" s="1569" t="s">
        <v>433</v>
      </c>
      <c r="T60" s="1569" t="s">
        <v>433</v>
      </c>
      <c r="U60" s="1569" t="s">
        <v>433</v>
      </c>
      <c r="V60" s="1569" t="s">
        <v>433</v>
      </c>
      <c r="W60" s="1569" t="s">
        <v>433</v>
      </c>
      <c r="X60" s="1569" t="s">
        <v>433</v>
      </c>
      <c r="Y60" s="1569" t="s">
        <v>433</v>
      </c>
      <c r="Z60" s="1569" t="s">
        <v>433</v>
      </c>
      <c r="AA60" s="1569" t="s">
        <v>433</v>
      </c>
      <c r="AB60" s="1569" t="s">
        <v>433</v>
      </c>
      <c r="AC60" s="1569" t="s">
        <v>433</v>
      </c>
      <c r="AD60" s="1569" t="s">
        <v>433</v>
      </c>
    </row>
    <row r="62" spans="1:30" s="22" customFormat="1" ht="24" customHeight="1">
      <c r="A62" s="757" t="s">
        <v>178</v>
      </c>
      <c r="B62" s="757"/>
      <c r="C62" s="754"/>
      <c r="I62" s="605"/>
      <c r="J62" s="605"/>
      <c r="L62" s="605"/>
      <c r="O62" s="1472" t="s">
        <v>934</v>
      </c>
      <c r="P62" s="819"/>
      <c r="Q62" s="819"/>
      <c r="R62" s="819"/>
      <c r="S62" s="1117"/>
      <c r="T62" s="819"/>
      <c r="U62" s="819"/>
      <c r="V62" s="819"/>
      <c r="W62" s="1472" t="s">
        <v>415</v>
      </c>
      <c r="X62" s="819"/>
      <c r="Y62" s="819"/>
      <c r="Z62" s="819"/>
      <c r="AA62" s="1117"/>
      <c r="AB62" s="819"/>
      <c r="AC62" s="819"/>
      <c r="AD62" s="819"/>
    </row>
    <row r="63" spans="1:30" s="69" customFormat="1" ht="21" customHeight="1">
      <c r="A63" s="2060" t="s">
        <v>182</v>
      </c>
      <c r="B63" s="2060"/>
      <c r="C63" s="2060"/>
      <c r="D63" s="2060"/>
      <c r="E63" s="25"/>
      <c r="F63" s="2060" t="s">
        <v>190</v>
      </c>
      <c r="G63" s="2060"/>
      <c r="H63" s="66"/>
      <c r="I63" s="67" t="s">
        <v>191</v>
      </c>
      <c r="J63" s="68"/>
      <c r="K63" s="65"/>
      <c r="L63" s="25"/>
      <c r="O63" s="1400"/>
      <c r="P63" s="1401" t="s">
        <v>190</v>
      </c>
      <c r="Q63" s="1401"/>
      <c r="R63" s="1402"/>
      <c r="S63" s="974" t="s">
        <v>191</v>
      </c>
      <c r="T63" s="1403"/>
      <c r="U63" s="1404"/>
      <c r="V63" s="1400"/>
      <c r="W63" s="1400"/>
      <c r="X63" s="1401" t="s">
        <v>190</v>
      </c>
      <c r="Y63" s="1401"/>
      <c r="Z63" s="1402"/>
      <c r="AA63" s="974" t="s">
        <v>191</v>
      </c>
      <c r="AB63" s="1403"/>
      <c r="AC63" s="1404"/>
      <c r="AD63" s="1400"/>
    </row>
    <row r="64" spans="1:30" s="69" customFormat="1" ht="21" customHeight="1">
      <c r="A64" s="2060"/>
      <c r="B64" s="2060"/>
      <c r="C64" s="2060"/>
      <c r="D64" s="2060"/>
      <c r="E64" s="18" t="s">
        <v>192</v>
      </c>
      <c r="F64" s="25"/>
      <c r="G64" s="25"/>
      <c r="H64" s="18"/>
      <c r="I64" s="18"/>
      <c r="J64" s="18"/>
      <c r="K64" s="18"/>
      <c r="L64" s="16" t="s">
        <v>183</v>
      </c>
      <c r="O64" s="1406" t="s">
        <v>192</v>
      </c>
      <c r="P64" s="975" t="s">
        <v>184</v>
      </c>
      <c r="Q64" s="975" t="s">
        <v>98</v>
      </c>
      <c r="R64" s="975" t="s">
        <v>184</v>
      </c>
      <c r="S64" s="975" t="s">
        <v>185</v>
      </c>
      <c r="T64" s="975" t="s">
        <v>186</v>
      </c>
      <c r="U64" s="975" t="s">
        <v>98</v>
      </c>
      <c r="V64" s="975" t="s">
        <v>183</v>
      </c>
      <c r="W64" s="1406" t="s">
        <v>192</v>
      </c>
      <c r="X64" s="975" t="s">
        <v>184</v>
      </c>
      <c r="Y64" s="975" t="s">
        <v>98</v>
      </c>
      <c r="Z64" s="975" t="s">
        <v>184</v>
      </c>
      <c r="AA64" s="975" t="s">
        <v>185</v>
      </c>
      <c r="AB64" s="975" t="s">
        <v>186</v>
      </c>
      <c r="AC64" s="975" t="s">
        <v>98</v>
      </c>
      <c r="AD64" s="975" t="s">
        <v>183</v>
      </c>
    </row>
    <row r="65" spans="1:30" s="69" customFormat="1" ht="21" customHeight="1">
      <c r="A65" s="2060"/>
      <c r="B65" s="2060"/>
      <c r="C65" s="2060"/>
      <c r="D65" s="2060"/>
      <c r="E65" s="41"/>
      <c r="F65" s="72" t="s">
        <v>184</v>
      </c>
      <c r="G65" s="72" t="s">
        <v>98</v>
      </c>
      <c r="H65" s="16" t="s">
        <v>184</v>
      </c>
      <c r="I65" s="16" t="s">
        <v>185</v>
      </c>
      <c r="J65" s="16" t="s">
        <v>186</v>
      </c>
      <c r="K65" s="16" t="s">
        <v>98</v>
      </c>
      <c r="L65" s="41"/>
      <c r="O65" s="1475" t="s">
        <v>1027</v>
      </c>
      <c r="P65" s="1475" t="s">
        <v>1028</v>
      </c>
      <c r="Q65" s="1475" t="s">
        <v>1029</v>
      </c>
      <c r="R65" s="1475" t="s">
        <v>1030</v>
      </c>
      <c r="S65" s="1475" t="s">
        <v>1031</v>
      </c>
      <c r="T65" s="1475" t="s">
        <v>1032</v>
      </c>
      <c r="U65" s="1475" t="s">
        <v>1033</v>
      </c>
      <c r="V65" s="1475" t="s">
        <v>1034</v>
      </c>
      <c r="W65" s="1475" t="s">
        <v>1035</v>
      </c>
      <c r="X65" s="1475" t="s">
        <v>1036</v>
      </c>
      <c r="Y65" s="1475" t="s">
        <v>1037</v>
      </c>
      <c r="Z65" s="1475" t="s">
        <v>1038</v>
      </c>
      <c r="AA65" s="1475" t="s">
        <v>1039</v>
      </c>
      <c r="AB65" s="1475" t="s">
        <v>1040</v>
      </c>
      <c r="AC65" s="1475" t="s">
        <v>1041</v>
      </c>
      <c r="AD65" s="1475" t="s">
        <v>1042</v>
      </c>
    </row>
    <row r="66" spans="1:30" ht="22.5" customHeight="1">
      <c r="A66" s="2024" t="s">
        <v>594</v>
      </c>
      <c r="B66" s="2058"/>
      <c r="C66" s="73" t="s">
        <v>187</v>
      </c>
      <c r="D66" s="70" t="s">
        <v>180</v>
      </c>
      <c r="E66" s="1478">
        <f>O66</f>
        <v>8889</v>
      </c>
      <c r="F66" s="1483">
        <f t="shared" ref="F66" si="195">P66</f>
        <v>196</v>
      </c>
      <c r="G66" s="1483">
        <f t="shared" ref="G66" si="196">Q66</f>
        <v>726</v>
      </c>
      <c r="H66" s="1483">
        <f t="shared" ref="H66" si="197">R66</f>
        <v>80</v>
      </c>
      <c r="I66" s="1483">
        <f t="shared" ref="I66" si="198">S66</f>
        <v>74</v>
      </c>
      <c r="J66" s="1483">
        <f t="shared" ref="J66" si="199">T66</f>
        <v>3090</v>
      </c>
      <c r="K66" s="1483">
        <f t="shared" ref="K66" si="200">U66</f>
        <v>854</v>
      </c>
      <c r="L66" s="1483">
        <f t="shared" ref="L66" si="201">V66</f>
        <v>3869</v>
      </c>
      <c r="M66" s="71"/>
      <c r="O66" s="1571">
        <v>8889</v>
      </c>
      <c r="P66" s="1571">
        <v>196</v>
      </c>
      <c r="Q66" s="1571">
        <v>726</v>
      </c>
      <c r="R66" s="1571">
        <v>80</v>
      </c>
      <c r="S66" s="1571">
        <v>74</v>
      </c>
      <c r="T66" s="1571">
        <v>3090</v>
      </c>
      <c r="U66" s="1571">
        <v>854</v>
      </c>
      <c r="V66" s="1571">
        <v>3869</v>
      </c>
      <c r="W66" s="1569" t="s">
        <v>433</v>
      </c>
      <c r="X66" s="1569" t="s">
        <v>433</v>
      </c>
      <c r="Y66" s="1569" t="s">
        <v>433</v>
      </c>
      <c r="Z66" s="1569" t="s">
        <v>433</v>
      </c>
      <c r="AA66" s="1569" t="s">
        <v>433</v>
      </c>
      <c r="AB66" s="1569" t="s">
        <v>433</v>
      </c>
      <c r="AC66" s="1569" t="s">
        <v>433</v>
      </c>
      <c r="AD66" s="1569" t="s">
        <v>433</v>
      </c>
    </row>
    <row r="67" spans="1:30" ht="22.5" customHeight="1">
      <c r="A67" s="1993"/>
      <c r="B67" s="2022"/>
      <c r="C67" s="74" t="s">
        <v>188</v>
      </c>
      <c r="D67" s="75" t="s">
        <v>154</v>
      </c>
      <c r="E67" s="1479">
        <f>W67 /1000</f>
        <v>1209120.868</v>
      </c>
      <c r="F67" s="1482">
        <f t="shared" ref="F67" si="202">X67 /1000</f>
        <v>9690.43</v>
      </c>
      <c r="G67" s="1482">
        <f t="shared" ref="G67" si="203">Y67 /1000</f>
        <v>29513.918000000001</v>
      </c>
      <c r="H67" s="1482">
        <f t="shared" ref="H67" si="204">Z67 /1000</f>
        <v>4628.4889999999996</v>
      </c>
      <c r="I67" s="1482">
        <f t="shared" ref="I67" si="205">AA67 /1000</f>
        <v>8326.366</v>
      </c>
      <c r="J67" s="1482">
        <f t="shared" ref="J67" si="206">AB67 /1000</f>
        <v>295320.28700000001</v>
      </c>
      <c r="K67" s="1482">
        <f t="shared" ref="K67" si="207">AC67 /1000</f>
        <v>21547.912</v>
      </c>
      <c r="L67" s="1482">
        <f t="shared" ref="L67" si="208">AD67 /1000</f>
        <v>840093.46600000001</v>
      </c>
      <c r="M67" s="71"/>
      <c r="O67" s="1569" t="s">
        <v>433</v>
      </c>
      <c r="P67" s="1569" t="s">
        <v>433</v>
      </c>
      <c r="Q67" s="1569" t="s">
        <v>433</v>
      </c>
      <c r="R67" s="1569" t="s">
        <v>433</v>
      </c>
      <c r="S67" s="1569" t="s">
        <v>433</v>
      </c>
      <c r="T67" s="1569" t="s">
        <v>433</v>
      </c>
      <c r="U67" s="1569" t="s">
        <v>433</v>
      </c>
      <c r="V67" s="1569" t="s">
        <v>433</v>
      </c>
      <c r="W67" s="1571">
        <v>1209120868</v>
      </c>
      <c r="X67" s="1571">
        <v>9690430</v>
      </c>
      <c r="Y67" s="1571">
        <v>29513918</v>
      </c>
      <c r="Z67" s="1571">
        <v>4628489</v>
      </c>
      <c r="AA67" s="1571">
        <v>8326366</v>
      </c>
      <c r="AB67" s="1571">
        <v>295320287</v>
      </c>
      <c r="AC67" s="1571">
        <v>21547912</v>
      </c>
      <c r="AD67" s="1571">
        <v>840093466</v>
      </c>
    </row>
    <row r="68" spans="1:30" ht="22.5" customHeight="1" thickBot="1">
      <c r="A68" s="2027"/>
      <c r="B68" s="2048"/>
      <c r="C68" s="1162" t="s">
        <v>189</v>
      </c>
      <c r="D68" s="1163" t="s">
        <v>176</v>
      </c>
      <c r="E68" s="1467">
        <f t="shared" ref="E68:L68" si="209">IF(ISERR(E67/E66),"－",E67/E66*1000)</f>
        <v>136024.39734503318</v>
      </c>
      <c r="F68" s="1467">
        <f t="shared" si="209"/>
        <v>49440.969387755104</v>
      </c>
      <c r="G68" s="1467">
        <f t="shared" si="209"/>
        <v>40652.779614325067</v>
      </c>
      <c r="H68" s="1467">
        <f t="shared" si="209"/>
        <v>57856.112499999996</v>
      </c>
      <c r="I68" s="1467">
        <f t="shared" si="209"/>
        <v>112518.45945945947</v>
      </c>
      <c r="J68" s="1467">
        <f t="shared" si="209"/>
        <v>95572.908414239486</v>
      </c>
      <c r="K68" s="1467">
        <f t="shared" si="209"/>
        <v>25231.747072599534</v>
      </c>
      <c r="L68" s="1467">
        <f t="shared" si="209"/>
        <v>217134.52209873352</v>
      </c>
      <c r="M68" s="71"/>
      <c r="O68" s="1569" t="s">
        <v>433</v>
      </c>
      <c r="P68" s="1569" t="s">
        <v>433</v>
      </c>
      <c r="Q68" s="1569" t="s">
        <v>433</v>
      </c>
      <c r="R68" s="1569" t="s">
        <v>433</v>
      </c>
      <c r="S68" s="1569" t="s">
        <v>433</v>
      </c>
      <c r="T68" s="1569" t="s">
        <v>433</v>
      </c>
      <c r="U68" s="1569" t="s">
        <v>433</v>
      </c>
      <c r="V68" s="1569" t="s">
        <v>433</v>
      </c>
      <c r="W68" s="1569" t="s">
        <v>433</v>
      </c>
      <c r="X68" s="1569" t="s">
        <v>433</v>
      </c>
      <c r="Y68" s="1569" t="s">
        <v>433</v>
      </c>
      <c r="Z68" s="1569" t="s">
        <v>433</v>
      </c>
      <c r="AA68" s="1569" t="s">
        <v>433</v>
      </c>
      <c r="AB68" s="1569" t="s">
        <v>433</v>
      </c>
      <c r="AC68" s="1569" t="s">
        <v>433</v>
      </c>
      <c r="AD68" s="1569" t="s">
        <v>433</v>
      </c>
    </row>
    <row r="69" spans="1:30" ht="22.5" customHeight="1" thickTop="1">
      <c r="A69" s="1993" t="s">
        <v>589</v>
      </c>
      <c r="B69" s="2022"/>
      <c r="C69" s="74" t="s">
        <v>187</v>
      </c>
      <c r="D69" s="1161" t="s">
        <v>180</v>
      </c>
      <c r="E69" s="1480">
        <f>O69</f>
        <v>5621</v>
      </c>
      <c r="F69" s="1481">
        <f t="shared" ref="F69" si="210">P69</f>
        <v>129</v>
      </c>
      <c r="G69" s="1481">
        <f t="shared" ref="G69" si="211">Q69</f>
        <v>449</v>
      </c>
      <c r="H69" s="1481">
        <f t="shared" ref="H69" si="212">R69</f>
        <v>48</v>
      </c>
      <c r="I69" s="1481">
        <f t="shared" ref="I69" si="213">S69</f>
        <v>66</v>
      </c>
      <c r="J69" s="1481">
        <f t="shared" ref="J69" si="214">T69</f>
        <v>2089</v>
      </c>
      <c r="K69" s="1481">
        <f t="shared" ref="K69" si="215">U69</f>
        <v>823</v>
      </c>
      <c r="L69" s="1481">
        <f t="shared" ref="L69" si="216">V69</f>
        <v>2017</v>
      </c>
      <c r="M69" s="71"/>
      <c r="O69" s="1571">
        <v>5621</v>
      </c>
      <c r="P69" s="1571">
        <v>129</v>
      </c>
      <c r="Q69" s="1571">
        <v>449</v>
      </c>
      <c r="R69" s="1571">
        <v>48</v>
      </c>
      <c r="S69" s="1571">
        <v>66</v>
      </c>
      <c r="T69" s="1571">
        <v>2089</v>
      </c>
      <c r="U69" s="1571">
        <v>823</v>
      </c>
      <c r="V69" s="1571">
        <v>2017</v>
      </c>
      <c r="W69" s="1569" t="s">
        <v>433</v>
      </c>
      <c r="X69" s="1569" t="s">
        <v>433</v>
      </c>
      <c r="Y69" s="1569" t="s">
        <v>433</v>
      </c>
      <c r="Z69" s="1569" t="s">
        <v>433</v>
      </c>
      <c r="AA69" s="1569" t="s">
        <v>433</v>
      </c>
      <c r="AB69" s="1569" t="s">
        <v>433</v>
      </c>
      <c r="AC69" s="1569" t="s">
        <v>433</v>
      </c>
      <c r="AD69" s="1569" t="s">
        <v>433</v>
      </c>
    </row>
    <row r="70" spans="1:30" ht="22.5" customHeight="1">
      <c r="A70" s="1993"/>
      <c r="B70" s="2022"/>
      <c r="C70" s="74" t="s">
        <v>188</v>
      </c>
      <c r="D70" s="75" t="s">
        <v>154</v>
      </c>
      <c r="E70" s="1479">
        <f>W70 /1000</f>
        <v>609572.196</v>
      </c>
      <c r="F70" s="1482">
        <f t="shared" ref="F70" si="217">X70 /1000</f>
        <v>4175.4849999999997</v>
      </c>
      <c r="G70" s="1482">
        <f t="shared" ref="G70" si="218">Y70 /1000</f>
        <v>13989.352000000001</v>
      </c>
      <c r="H70" s="1482">
        <f t="shared" ref="H70" si="219">Z70 /1000</f>
        <v>1896.336</v>
      </c>
      <c r="I70" s="1482">
        <f t="shared" ref="I70" si="220">AA70 /1000</f>
        <v>8242.8520000000008</v>
      </c>
      <c r="J70" s="1482">
        <f t="shared" ref="J70" si="221">AB70 /1000</f>
        <v>187613.24400000001</v>
      </c>
      <c r="K70" s="1482">
        <f t="shared" ref="K70" si="222">AC70 /1000</f>
        <v>19663.02</v>
      </c>
      <c r="L70" s="1482">
        <f t="shared" ref="L70" si="223">AD70 /1000</f>
        <v>373991.90700000001</v>
      </c>
      <c r="M70" s="71"/>
      <c r="O70" s="1569" t="s">
        <v>433</v>
      </c>
      <c r="P70" s="1569" t="s">
        <v>433</v>
      </c>
      <c r="Q70" s="1569" t="s">
        <v>433</v>
      </c>
      <c r="R70" s="1569" t="s">
        <v>433</v>
      </c>
      <c r="S70" s="1569" t="s">
        <v>433</v>
      </c>
      <c r="T70" s="1569" t="s">
        <v>433</v>
      </c>
      <c r="U70" s="1569" t="s">
        <v>433</v>
      </c>
      <c r="V70" s="1569" t="s">
        <v>433</v>
      </c>
      <c r="W70" s="1571">
        <v>609572196</v>
      </c>
      <c r="X70" s="1571">
        <v>4175485</v>
      </c>
      <c r="Y70" s="1571">
        <v>13989352</v>
      </c>
      <c r="Z70" s="1571">
        <v>1896336</v>
      </c>
      <c r="AA70" s="1571">
        <v>8242852</v>
      </c>
      <c r="AB70" s="1571">
        <v>187613244</v>
      </c>
      <c r="AC70" s="1571">
        <v>19663020</v>
      </c>
      <c r="AD70" s="1571">
        <v>373991907</v>
      </c>
    </row>
    <row r="71" spans="1:30" ht="22.5" customHeight="1">
      <c r="A71" s="1993"/>
      <c r="B71" s="2023"/>
      <c r="C71" s="76" t="s">
        <v>189</v>
      </c>
      <c r="D71" s="77" t="s">
        <v>176</v>
      </c>
      <c r="E71" s="1468">
        <f t="shared" ref="E71:L71" si="224">IF(ISERR(E70/E69),"－",E70/E69*1000)</f>
        <v>108445.50720512365</v>
      </c>
      <c r="F71" s="1468">
        <f t="shared" si="224"/>
        <v>32368.100775193794</v>
      </c>
      <c r="G71" s="1468">
        <f t="shared" si="224"/>
        <v>31156.685968819602</v>
      </c>
      <c r="H71" s="1468">
        <f t="shared" si="224"/>
        <v>39507</v>
      </c>
      <c r="I71" s="1468">
        <f t="shared" si="224"/>
        <v>124891.69696969698</v>
      </c>
      <c r="J71" s="1468">
        <f t="shared" si="224"/>
        <v>89810.073719483014</v>
      </c>
      <c r="K71" s="1468">
        <f t="shared" si="224"/>
        <v>23891.883353584446</v>
      </c>
      <c r="L71" s="1468">
        <f t="shared" si="224"/>
        <v>185419.88448190381</v>
      </c>
      <c r="M71" s="71"/>
      <c r="O71" s="1569" t="s">
        <v>433</v>
      </c>
      <c r="P71" s="1569" t="s">
        <v>433</v>
      </c>
      <c r="Q71" s="1569" t="s">
        <v>433</v>
      </c>
      <c r="R71" s="1569" t="s">
        <v>433</v>
      </c>
      <c r="S71" s="1569" t="s">
        <v>433</v>
      </c>
      <c r="T71" s="1569" t="s">
        <v>433</v>
      </c>
      <c r="U71" s="1569" t="s">
        <v>433</v>
      </c>
      <c r="V71" s="1569" t="s">
        <v>433</v>
      </c>
      <c r="W71" s="1569" t="s">
        <v>433</v>
      </c>
      <c r="X71" s="1569" t="s">
        <v>433</v>
      </c>
      <c r="Y71" s="1569" t="s">
        <v>433</v>
      </c>
      <c r="Z71" s="1569" t="s">
        <v>433</v>
      </c>
      <c r="AA71" s="1569" t="s">
        <v>433</v>
      </c>
      <c r="AB71" s="1569" t="s">
        <v>433</v>
      </c>
      <c r="AC71" s="1569" t="s">
        <v>433</v>
      </c>
      <c r="AD71" s="1569" t="s">
        <v>433</v>
      </c>
    </row>
    <row r="72" spans="1:30" ht="22.5" customHeight="1">
      <c r="A72" s="1145"/>
      <c r="B72" s="2059" t="s">
        <v>590</v>
      </c>
      <c r="C72" s="73" t="s">
        <v>187</v>
      </c>
      <c r="D72" s="70" t="s">
        <v>180</v>
      </c>
      <c r="E72" s="1478">
        <f>O72</f>
        <v>4091</v>
      </c>
      <c r="F72" s="1483">
        <f t="shared" ref="F72" si="225">P72</f>
        <v>42</v>
      </c>
      <c r="G72" s="1483">
        <f t="shared" ref="G72" si="226">Q72</f>
        <v>383</v>
      </c>
      <c r="H72" s="1483">
        <f t="shared" ref="H72" si="227">R72</f>
        <v>31</v>
      </c>
      <c r="I72" s="1483">
        <f t="shared" ref="I72" si="228">S72</f>
        <v>40</v>
      </c>
      <c r="J72" s="1483">
        <f t="shared" ref="J72" si="229">T72</f>
        <v>1665</v>
      </c>
      <c r="K72" s="1483">
        <f t="shared" ref="K72" si="230">U72</f>
        <v>629</v>
      </c>
      <c r="L72" s="1483">
        <f t="shared" ref="L72" si="231">V72</f>
        <v>1301</v>
      </c>
      <c r="M72" s="71"/>
      <c r="O72" s="1571">
        <v>4091</v>
      </c>
      <c r="P72" s="1571">
        <v>42</v>
      </c>
      <c r="Q72" s="1571">
        <v>383</v>
      </c>
      <c r="R72" s="1571">
        <v>31</v>
      </c>
      <c r="S72" s="1571">
        <v>40</v>
      </c>
      <c r="T72" s="1571">
        <v>1665</v>
      </c>
      <c r="U72" s="1571">
        <v>629</v>
      </c>
      <c r="V72" s="1571">
        <v>1301</v>
      </c>
      <c r="W72" s="1569" t="s">
        <v>433</v>
      </c>
      <c r="X72" s="1569" t="s">
        <v>433</v>
      </c>
      <c r="Y72" s="1569" t="s">
        <v>433</v>
      </c>
      <c r="Z72" s="1569" t="s">
        <v>433</v>
      </c>
      <c r="AA72" s="1569" t="s">
        <v>433</v>
      </c>
      <c r="AB72" s="1569" t="s">
        <v>433</v>
      </c>
      <c r="AC72" s="1569" t="s">
        <v>433</v>
      </c>
      <c r="AD72" s="1569" t="s">
        <v>433</v>
      </c>
    </row>
    <row r="73" spans="1:30" ht="22.5" customHeight="1">
      <c r="A73" s="1145"/>
      <c r="B73" s="2020"/>
      <c r="C73" s="74" t="s">
        <v>188</v>
      </c>
      <c r="D73" s="75" t="s">
        <v>154</v>
      </c>
      <c r="E73" s="1479">
        <f>W73 /1000</f>
        <v>402348.58100000001</v>
      </c>
      <c r="F73" s="1482">
        <f t="shared" ref="F73" si="232">X73 /1000</f>
        <v>1461.7760000000001</v>
      </c>
      <c r="G73" s="1482">
        <f t="shared" ref="G73" si="233">Y73 /1000</f>
        <v>11451.616</v>
      </c>
      <c r="H73" s="1482">
        <f t="shared" ref="H73" si="234">Z73 /1000</f>
        <v>429.39</v>
      </c>
      <c r="I73" s="1482">
        <f t="shared" ref="I73" si="235">AA73 /1000</f>
        <v>3514.3829999999998</v>
      </c>
      <c r="J73" s="1482">
        <f t="shared" ref="J73" si="236">AB73 /1000</f>
        <v>145374.807</v>
      </c>
      <c r="K73" s="1482">
        <f t="shared" ref="K73" si="237">AC73 /1000</f>
        <v>13258.043</v>
      </c>
      <c r="L73" s="1482">
        <f t="shared" ref="L73" si="238">AD73 /1000</f>
        <v>226858.56599999999</v>
      </c>
      <c r="M73" s="71"/>
      <c r="O73" s="1569" t="s">
        <v>433</v>
      </c>
      <c r="P73" s="1569" t="s">
        <v>433</v>
      </c>
      <c r="Q73" s="1569" t="s">
        <v>433</v>
      </c>
      <c r="R73" s="1569" t="s">
        <v>433</v>
      </c>
      <c r="S73" s="1569" t="s">
        <v>433</v>
      </c>
      <c r="T73" s="1569" t="s">
        <v>433</v>
      </c>
      <c r="U73" s="1569" t="s">
        <v>433</v>
      </c>
      <c r="V73" s="1569" t="s">
        <v>433</v>
      </c>
      <c r="W73" s="1571">
        <v>402348581</v>
      </c>
      <c r="X73" s="1571">
        <v>1461776</v>
      </c>
      <c r="Y73" s="1571">
        <v>11451616</v>
      </c>
      <c r="Z73" s="1571">
        <v>429390</v>
      </c>
      <c r="AA73" s="1571">
        <v>3514383</v>
      </c>
      <c r="AB73" s="1571">
        <v>145374807</v>
      </c>
      <c r="AC73" s="1571">
        <v>13258043</v>
      </c>
      <c r="AD73" s="1571">
        <v>226858566</v>
      </c>
    </row>
    <row r="74" spans="1:30" ht="22.5" customHeight="1">
      <c r="A74" s="1145"/>
      <c r="B74" s="2021"/>
      <c r="C74" s="76" t="s">
        <v>189</v>
      </c>
      <c r="D74" s="77" t="s">
        <v>176</v>
      </c>
      <c r="E74" s="1468">
        <f t="shared" ref="E74:L74" si="239">IF(ISERR(E73/E72),"－",E73/E72*1000)</f>
        <v>98349.689806893177</v>
      </c>
      <c r="F74" s="1468">
        <f t="shared" si="239"/>
        <v>34804.190476190481</v>
      </c>
      <c r="G74" s="1468">
        <f t="shared" si="239"/>
        <v>29899.780678851177</v>
      </c>
      <c r="H74" s="1468">
        <f t="shared" si="239"/>
        <v>13851.290322580646</v>
      </c>
      <c r="I74" s="1468">
        <f t="shared" si="239"/>
        <v>87859.574999999997</v>
      </c>
      <c r="J74" s="1468">
        <f t="shared" si="239"/>
        <v>87312.196396396408</v>
      </c>
      <c r="K74" s="1468">
        <f t="shared" si="239"/>
        <v>21077.969793322733</v>
      </c>
      <c r="L74" s="1468">
        <f t="shared" si="239"/>
        <v>174372.45657186778</v>
      </c>
      <c r="M74" s="71"/>
      <c r="O74" s="1569" t="s">
        <v>433</v>
      </c>
      <c r="P74" s="1569" t="s">
        <v>433</v>
      </c>
      <c r="Q74" s="1569" t="s">
        <v>433</v>
      </c>
      <c r="R74" s="1569" t="s">
        <v>433</v>
      </c>
      <c r="S74" s="1569" t="s">
        <v>433</v>
      </c>
      <c r="T74" s="1569" t="s">
        <v>433</v>
      </c>
      <c r="U74" s="1569" t="s">
        <v>433</v>
      </c>
      <c r="V74" s="1569" t="s">
        <v>433</v>
      </c>
      <c r="W74" s="1569" t="s">
        <v>433</v>
      </c>
      <c r="X74" s="1569" t="s">
        <v>433</v>
      </c>
      <c r="Y74" s="1569" t="s">
        <v>433</v>
      </c>
      <c r="Z74" s="1569" t="s">
        <v>433</v>
      </c>
      <c r="AA74" s="1569" t="s">
        <v>433</v>
      </c>
      <c r="AB74" s="1569" t="s">
        <v>433</v>
      </c>
      <c r="AC74" s="1569" t="s">
        <v>433</v>
      </c>
      <c r="AD74" s="1569" t="s">
        <v>433</v>
      </c>
    </row>
    <row r="75" spans="1:30" ht="22.5" customHeight="1">
      <c r="A75" s="1145"/>
      <c r="B75" s="2020" t="s">
        <v>591</v>
      </c>
      <c r="C75" s="73" t="s">
        <v>187</v>
      </c>
      <c r="D75" s="70" t="s">
        <v>180</v>
      </c>
      <c r="E75" s="1478">
        <f>O75</f>
        <v>1530</v>
      </c>
      <c r="F75" s="1483">
        <f t="shared" ref="F75" si="240">P75</f>
        <v>87</v>
      </c>
      <c r="G75" s="1483">
        <f t="shared" ref="G75" si="241">Q75</f>
        <v>66</v>
      </c>
      <c r="H75" s="1483">
        <f t="shared" ref="H75" si="242">R75</f>
        <v>17</v>
      </c>
      <c r="I75" s="1483">
        <f t="shared" ref="I75" si="243">S75</f>
        <v>26</v>
      </c>
      <c r="J75" s="1483">
        <f t="shared" ref="J75" si="244">T75</f>
        <v>424</v>
      </c>
      <c r="K75" s="1483">
        <f t="shared" ref="K75" si="245">U75</f>
        <v>194</v>
      </c>
      <c r="L75" s="1483">
        <f t="shared" ref="L75" si="246">V75</f>
        <v>716</v>
      </c>
      <c r="M75" s="71"/>
      <c r="O75" s="1571">
        <v>1530</v>
      </c>
      <c r="P75" s="1571">
        <v>87</v>
      </c>
      <c r="Q75" s="1571">
        <v>66</v>
      </c>
      <c r="R75" s="1571">
        <v>17</v>
      </c>
      <c r="S75" s="1571">
        <v>26</v>
      </c>
      <c r="T75" s="1571">
        <v>424</v>
      </c>
      <c r="U75" s="1571">
        <v>194</v>
      </c>
      <c r="V75" s="1571">
        <v>716</v>
      </c>
      <c r="W75" s="1569" t="s">
        <v>433</v>
      </c>
      <c r="X75" s="1569" t="s">
        <v>433</v>
      </c>
      <c r="Y75" s="1569" t="s">
        <v>433</v>
      </c>
      <c r="Z75" s="1569" t="s">
        <v>433</v>
      </c>
      <c r="AA75" s="1569" t="s">
        <v>433</v>
      </c>
      <c r="AB75" s="1569" t="s">
        <v>433</v>
      </c>
      <c r="AC75" s="1569" t="s">
        <v>433</v>
      </c>
      <c r="AD75" s="1569" t="s">
        <v>433</v>
      </c>
    </row>
    <row r="76" spans="1:30" ht="22.5" customHeight="1">
      <c r="A76" s="1145"/>
      <c r="B76" s="2020"/>
      <c r="C76" s="74" t="s">
        <v>188</v>
      </c>
      <c r="D76" s="75" t="s">
        <v>154</v>
      </c>
      <c r="E76" s="1479">
        <f>W76 /1000</f>
        <v>207223.61499999999</v>
      </c>
      <c r="F76" s="1482">
        <f t="shared" ref="F76" si="247">X76 /1000</f>
        <v>2713.7089999999998</v>
      </c>
      <c r="G76" s="1482">
        <f t="shared" ref="G76" si="248">Y76 /1000</f>
        <v>2537.7359999999999</v>
      </c>
      <c r="H76" s="1482">
        <f t="shared" ref="H76" si="249">Z76 /1000</f>
        <v>1466.9459999999999</v>
      </c>
      <c r="I76" s="1482">
        <f t="shared" ref="I76" si="250">AA76 /1000</f>
        <v>4728.4690000000001</v>
      </c>
      <c r="J76" s="1482">
        <f t="shared" ref="J76" si="251">AB76 /1000</f>
        <v>42238.436999999998</v>
      </c>
      <c r="K76" s="1482">
        <f t="shared" ref="K76" si="252">AC76 /1000</f>
        <v>6404.9769999999999</v>
      </c>
      <c r="L76" s="1482">
        <f t="shared" ref="L76" si="253">AD76 /1000</f>
        <v>147133.34099999999</v>
      </c>
      <c r="M76" s="71"/>
      <c r="O76" s="1569" t="s">
        <v>433</v>
      </c>
      <c r="P76" s="1569" t="s">
        <v>433</v>
      </c>
      <c r="Q76" s="1569" t="s">
        <v>433</v>
      </c>
      <c r="R76" s="1569" t="s">
        <v>433</v>
      </c>
      <c r="S76" s="1569" t="s">
        <v>433</v>
      </c>
      <c r="T76" s="1569" t="s">
        <v>433</v>
      </c>
      <c r="U76" s="1569" t="s">
        <v>433</v>
      </c>
      <c r="V76" s="1569" t="s">
        <v>433</v>
      </c>
      <c r="W76" s="1571">
        <v>207223615</v>
      </c>
      <c r="X76" s="1571">
        <v>2713709</v>
      </c>
      <c r="Y76" s="1571">
        <v>2537736</v>
      </c>
      <c r="Z76" s="1571">
        <v>1466946</v>
      </c>
      <c r="AA76" s="1571">
        <v>4728469</v>
      </c>
      <c r="AB76" s="1571">
        <v>42238437</v>
      </c>
      <c r="AC76" s="1571">
        <v>6404977</v>
      </c>
      <c r="AD76" s="1571">
        <v>147133341</v>
      </c>
    </row>
    <row r="77" spans="1:30" ht="22.5" customHeight="1" thickBot="1">
      <c r="A77" s="1147"/>
      <c r="B77" s="2037"/>
      <c r="C77" s="1162" t="s">
        <v>189</v>
      </c>
      <c r="D77" s="1163" t="s">
        <v>176</v>
      </c>
      <c r="E77" s="1467">
        <f t="shared" ref="E77:L77" si="254">IF(ISERR(E76/E75),"－",E76/E75*1000)</f>
        <v>135440.27124183005</v>
      </c>
      <c r="F77" s="1467">
        <f t="shared" si="254"/>
        <v>31192.057471264365</v>
      </c>
      <c r="G77" s="1467">
        <f t="shared" si="254"/>
        <v>38450.545454545456</v>
      </c>
      <c r="H77" s="1467">
        <f t="shared" si="254"/>
        <v>86290.941176470587</v>
      </c>
      <c r="I77" s="1467">
        <f t="shared" si="254"/>
        <v>181864.19230769231</v>
      </c>
      <c r="J77" s="1467">
        <f t="shared" si="254"/>
        <v>99618.955188679232</v>
      </c>
      <c r="K77" s="1467">
        <f t="shared" si="254"/>
        <v>33015.345360824736</v>
      </c>
      <c r="L77" s="1467">
        <f t="shared" si="254"/>
        <v>205493.49301675975</v>
      </c>
      <c r="M77" s="71"/>
      <c r="O77" s="1569" t="s">
        <v>433</v>
      </c>
      <c r="P77" s="1569" t="s">
        <v>433</v>
      </c>
      <c r="Q77" s="1569" t="s">
        <v>433</v>
      </c>
      <c r="R77" s="1569" t="s">
        <v>433</v>
      </c>
      <c r="S77" s="1569" t="s">
        <v>433</v>
      </c>
      <c r="T77" s="1569" t="s">
        <v>433</v>
      </c>
      <c r="U77" s="1569" t="s">
        <v>433</v>
      </c>
      <c r="V77" s="1569" t="s">
        <v>433</v>
      </c>
      <c r="W77" s="1569" t="s">
        <v>433</v>
      </c>
      <c r="X77" s="1569" t="s">
        <v>433</v>
      </c>
      <c r="Y77" s="1569" t="s">
        <v>433</v>
      </c>
      <c r="Z77" s="1569" t="s">
        <v>433</v>
      </c>
      <c r="AA77" s="1569" t="s">
        <v>433</v>
      </c>
      <c r="AB77" s="1569" t="s">
        <v>433</v>
      </c>
      <c r="AC77" s="1569" t="s">
        <v>433</v>
      </c>
      <c r="AD77" s="1569" t="s">
        <v>433</v>
      </c>
    </row>
    <row r="78" spans="1:30" ht="22.5" customHeight="1" thickTop="1">
      <c r="A78" s="1993" t="s">
        <v>155</v>
      </c>
      <c r="B78" s="2022"/>
      <c r="C78" s="74" t="s">
        <v>187</v>
      </c>
      <c r="D78" s="1161" t="s">
        <v>180</v>
      </c>
      <c r="E78" s="1480">
        <f>O78</f>
        <v>3268</v>
      </c>
      <c r="F78" s="1481">
        <f t="shared" ref="F78" si="255">P78</f>
        <v>67</v>
      </c>
      <c r="G78" s="1481">
        <f t="shared" ref="G78" si="256">Q78</f>
        <v>277</v>
      </c>
      <c r="H78" s="1481">
        <f t="shared" ref="H78" si="257">R78</f>
        <v>32</v>
      </c>
      <c r="I78" s="1481">
        <f t="shared" ref="I78" si="258">S78</f>
        <v>8</v>
      </c>
      <c r="J78" s="1481">
        <f t="shared" ref="J78" si="259">T78</f>
        <v>1001</v>
      </c>
      <c r="K78" s="1481">
        <f t="shared" ref="K78" si="260">U78</f>
        <v>31</v>
      </c>
      <c r="L78" s="1481">
        <f t="shared" ref="L78" si="261">V78</f>
        <v>1852</v>
      </c>
      <c r="M78" s="71"/>
      <c r="O78" s="1571">
        <v>3268</v>
      </c>
      <c r="P78" s="1571">
        <v>67</v>
      </c>
      <c r="Q78" s="1571">
        <v>277</v>
      </c>
      <c r="R78" s="1571">
        <v>32</v>
      </c>
      <c r="S78" s="1571">
        <v>8</v>
      </c>
      <c r="T78" s="1571">
        <v>1001</v>
      </c>
      <c r="U78" s="1571">
        <v>31</v>
      </c>
      <c r="V78" s="1571">
        <v>1852</v>
      </c>
      <c r="W78" s="1569" t="s">
        <v>433</v>
      </c>
      <c r="X78" s="1569" t="s">
        <v>433</v>
      </c>
      <c r="Y78" s="1569" t="s">
        <v>433</v>
      </c>
      <c r="Z78" s="1569" t="s">
        <v>433</v>
      </c>
      <c r="AA78" s="1569" t="s">
        <v>433</v>
      </c>
      <c r="AB78" s="1569" t="s">
        <v>433</v>
      </c>
      <c r="AC78" s="1569" t="s">
        <v>433</v>
      </c>
      <c r="AD78" s="1569" t="s">
        <v>433</v>
      </c>
    </row>
    <row r="79" spans="1:30" ht="22.5" customHeight="1">
      <c r="A79" s="1993"/>
      <c r="B79" s="2022"/>
      <c r="C79" s="74" t="s">
        <v>188</v>
      </c>
      <c r="D79" s="75" t="s">
        <v>154</v>
      </c>
      <c r="E79" s="1479">
        <f>W79 /1000</f>
        <v>599548.67200000002</v>
      </c>
      <c r="F79" s="1482">
        <f t="shared" ref="F79" si="262">X79 /1000</f>
        <v>5514.9449999999997</v>
      </c>
      <c r="G79" s="1482">
        <f t="shared" ref="G79" si="263">Y79 /1000</f>
        <v>15524.566000000001</v>
      </c>
      <c r="H79" s="1482">
        <f t="shared" ref="H79" si="264">Z79 /1000</f>
        <v>2732.1529999999998</v>
      </c>
      <c r="I79" s="1482">
        <f t="shared" ref="I79" si="265">AA79 /1000</f>
        <v>83.513999999999996</v>
      </c>
      <c r="J79" s="1482">
        <f t="shared" ref="J79" si="266">AB79 /1000</f>
        <v>107707.04300000001</v>
      </c>
      <c r="K79" s="1482">
        <f t="shared" ref="K79" si="267">AC79 /1000</f>
        <v>1884.8920000000001</v>
      </c>
      <c r="L79" s="1482">
        <f t="shared" ref="L79" si="268">AD79 /1000</f>
        <v>466101.55900000001</v>
      </c>
      <c r="M79" s="71"/>
      <c r="O79" s="1569" t="s">
        <v>433</v>
      </c>
      <c r="P79" s="1569" t="s">
        <v>433</v>
      </c>
      <c r="Q79" s="1569" t="s">
        <v>433</v>
      </c>
      <c r="R79" s="1569" t="s">
        <v>433</v>
      </c>
      <c r="S79" s="1569" t="s">
        <v>433</v>
      </c>
      <c r="T79" s="1569" t="s">
        <v>433</v>
      </c>
      <c r="U79" s="1569" t="s">
        <v>433</v>
      </c>
      <c r="V79" s="1569" t="s">
        <v>433</v>
      </c>
      <c r="W79" s="1571">
        <v>599548672</v>
      </c>
      <c r="X79" s="1571">
        <v>5514945</v>
      </c>
      <c r="Y79" s="1571">
        <v>15524566</v>
      </c>
      <c r="Z79" s="1571">
        <v>2732153</v>
      </c>
      <c r="AA79" s="1571">
        <v>83514</v>
      </c>
      <c r="AB79" s="1571">
        <v>107707043</v>
      </c>
      <c r="AC79" s="1571">
        <v>1884892</v>
      </c>
      <c r="AD79" s="1571">
        <v>466101559</v>
      </c>
    </row>
    <row r="80" spans="1:30" ht="22.5" customHeight="1">
      <c r="A80" s="1994"/>
      <c r="B80" s="2023"/>
      <c r="C80" s="76" t="s">
        <v>189</v>
      </c>
      <c r="D80" s="77" t="s">
        <v>176</v>
      </c>
      <c r="E80" s="1466">
        <f t="shared" ref="E80:L80" si="269">IF(ISERR(E79/E78),"－",E79/E78*1000)</f>
        <v>183460.42594859243</v>
      </c>
      <c r="F80" s="1466">
        <f t="shared" si="269"/>
        <v>82312.611940298506</v>
      </c>
      <c r="G80" s="1466">
        <f t="shared" si="269"/>
        <v>56045.364620938628</v>
      </c>
      <c r="H80" s="1466">
        <f t="shared" si="269"/>
        <v>85379.78125</v>
      </c>
      <c r="I80" s="1466">
        <f t="shared" si="269"/>
        <v>10439.25</v>
      </c>
      <c r="J80" s="1466">
        <f t="shared" si="269"/>
        <v>107599.44355644356</v>
      </c>
      <c r="K80" s="1466">
        <f t="shared" si="269"/>
        <v>60802.967741935485</v>
      </c>
      <c r="L80" s="1466">
        <f t="shared" si="269"/>
        <v>251674.70788336932</v>
      </c>
      <c r="M80" s="71"/>
      <c r="O80" s="1569" t="s">
        <v>433</v>
      </c>
      <c r="P80" s="1569" t="s">
        <v>433</v>
      </c>
      <c r="Q80" s="1569" t="s">
        <v>433</v>
      </c>
      <c r="R80" s="1569" t="s">
        <v>433</v>
      </c>
      <c r="S80" s="1569" t="s">
        <v>433</v>
      </c>
      <c r="T80" s="1569" t="s">
        <v>433</v>
      </c>
      <c r="U80" s="1569" t="s">
        <v>433</v>
      </c>
      <c r="V80" s="1569" t="s">
        <v>433</v>
      </c>
      <c r="W80" s="1569" t="s">
        <v>433</v>
      </c>
      <c r="X80" s="1569" t="s">
        <v>433</v>
      </c>
      <c r="Y80" s="1569" t="s">
        <v>433</v>
      </c>
      <c r="Z80" s="1569" t="s">
        <v>433</v>
      </c>
      <c r="AA80" s="1569" t="s">
        <v>433</v>
      </c>
      <c r="AB80" s="1569" t="s">
        <v>433</v>
      </c>
      <c r="AC80" s="1569" t="s">
        <v>433</v>
      </c>
      <c r="AD80" s="1569" t="s">
        <v>433</v>
      </c>
    </row>
  </sheetData>
  <sheetProtection selectLockedCells="1" selectUnlockedCells="1"/>
  <mergeCells count="32">
    <mergeCell ref="A66:B68"/>
    <mergeCell ref="A69:B71"/>
    <mergeCell ref="B72:B74"/>
    <mergeCell ref="B75:B77"/>
    <mergeCell ref="A78:B80"/>
    <mergeCell ref="A26:B28"/>
    <mergeCell ref="F63:G63"/>
    <mergeCell ref="A43:D45"/>
    <mergeCell ref="F43:G43"/>
    <mergeCell ref="A29:B31"/>
    <mergeCell ref="B32:B34"/>
    <mergeCell ref="B35:B37"/>
    <mergeCell ref="A38:B40"/>
    <mergeCell ref="A46:B48"/>
    <mergeCell ref="A49:B51"/>
    <mergeCell ref="A63:D65"/>
    <mergeCell ref="B52:B54"/>
    <mergeCell ref="B55:B57"/>
    <mergeCell ref="A58:B60"/>
    <mergeCell ref="A6:B8"/>
    <mergeCell ref="A9:B11"/>
    <mergeCell ref="B12:B14"/>
    <mergeCell ref="A23:D25"/>
    <mergeCell ref="F23:G23"/>
    <mergeCell ref="B15:B17"/>
    <mergeCell ref="A18:B20"/>
    <mergeCell ref="P2:Q2"/>
    <mergeCell ref="P3:Q3"/>
    <mergeCell ref="X2:Y2"/>
    <mergeCell ref="X3:Y3"/>
    <mergeCell ref="A3:D5"/>
    <mergeCell ref="F3:G3"/>
  </mergeCells>
  <phoneticPr fontId="27"/>
  <pageMargins left="0.78740157480314965" right="0.59055118110236227" top="0.78740157480314965" bottom="0.59055118110236227" header="0.51181102362204722" footer="0.39370078740157483"/>
  <pageSetup paperSize="9" scale="86" firstPageNumber="48" fitToHeight="2" orientation="portrait" useFirstPageNumber="1" r:id="rId1"/>
  <headerFooter alignWithMargins="0"/>
  <rowBreaks count="1" manualBreakCount="1">
    <brk id="40" max="11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25"/>
  <sheetViews>
    <sheetView view="pageBreakPreview" zoomScaleNormal="100" workbookViewId="0"/>
  </sheetViews>
  <sheetFormatPr defaultColWidth="9" defaultRowHeight="12"/>
  <cols>
    <col min="1" max="2" width="4.6640625" style="760" customWidth="1" collapsed="1"/>
    <col min="3" max="3" width="25.33203125" style="858" customWidth="1" collapsed="1"/>
    <col min="4" max="4" width="6.88671875" style="760" customWidth="1" collapsed="1"/>
    <col min="5" max="5" width="20" style="665" customWidth="1" collapsed="1"/>
    <col min="6" max="7" width="9" style="665" collapsed="1"/>
    <col min="8" max="8" width="9" style="160" collapsed="1"/>
    <col min="9" max="9" width="1.21875" style="665" customWidth="1" collapsed="1"/>
    <col min="10" max="10" width="9" style="665" collapsed="1"/>
    <col min="11" max="12" width="17.109375" style="1469" hidden="1" customWidth="1" collapsed="1"/>
    <col min="13" max="13" width="17.33203125" style="665" hidden="1" customWidth="1" collapsed="1"/>
    <col min="14" max="14" width="23.21875" style="665" hidden="1" customWidth="1" collapsed="1"/>
    <col min="15" max="16384" width="9" style="665" collapsed="1"/>
  </cols>
  <sheetData>
    <row r="1" spans="1:14" s="535" customFormat="1" ht="24" customHeight="1">
      <c r="A1" s="768" t="s">
        <v>537</v>
      </c>
      <c r="B1" s="1116"/>
      <c r="C1" s="768"/>
      <c r="D1" s="768"/>
      <c r="G1" s="764"/>
      <c r="K1" s="1470"/>
      <c r="L1" s="1470"/>
    </row>
    <row r="2" spans="1:14" s="535" customFormat="1" ht="13.2">
      <c r="A2" s="1182"/>
      <c r="B2" s="1182" t="str">
        <f>DBCS(情報!$D$2&amp;"の高額介護合算療養費の状況は表１５のとおりである。")</f>
        <v>令和３年度の高額介護合算療養費の状況は表１５のとおりである。</v>
      </c>
      <c r="C2" s="768"/>
      <c r="D2" s="765"/>
      <c r="E2" s="765"/>
      <c r="F2" s="536"/>
      <c r="G2" s="536"/>
      <c r="H2" s="536"/>
      <c r="I2" s="536"/>
      <c r="J2" s="536"/>
      <c r="K2" s="1470"/>
      <c r="L2" s="1470"/>
    </row>
    <row r="3" spans="1:14" s="535" customFormat="1" ht="18" customHeight="1">
      <c r="A3" s="766"/>
      <c r="B3" s="1116"/>
      <c r="C3" s="766"/>
      <c r="D3" s="768"/>
      <c r="G3" s="764"/>
      <c r="K3" s="1470"/>
      <c r="L3" s="1470"/>
    </row>
    <row r="4" spans="1:14" s="536" customFormat="1" ht="21" customHeight="1">
      <c r="A4" s="1182"/>
      <c r="B4" s="1115"/>
      <c r="C4" s="1182" t="s">
        <v>605</v>
      </c>
      <c r="D4" s="769"/>
      <c r="F4" s="767"/>
      <c r="G4" s="767"/>
      <c r="K4" s="1470"/>
      <c r="L4" s="1470"/>
    </row>
    <row r="5" spans="1:14" s="617" customFormat="1" ht="18" customHeight="1">
      <c r="C5" s="763"/>
      <c r="H5" s="619"/>
      <c r="K5" s="1471"/>
      <c r="L5" s="1471"/>
    </row>
    <row r="6" spans="1:14" s="745" customFormat="1" ht="21" customHeight="1">
      <c r="A6" s="2064" t="s">
        <v>527</v>
      </c>
      <c r="B6" s="2065"/>
      <c r="C6" s="2065"/>
      <c r="D6" s="2066"/>
      <c r="E6" s="242"/>
      <c r="F6" s="678"/>
      <c r="G6" s="231"/>
      <c r="H6" s="231"/>
      <c r="K6" s="2062" t="s">
        <v>1090</v>
      </c>
      <c r="L6" s="2063"/>
      <c r="M6" s="2061" t="s">
        <v>1087</v>
      </c>
      <c r="N6" s="2061"/>
    </row>
    <row r="7" spans="1:14" s="745" customFormat="1" ht="21" customHeight="1">
      <c r="A7" s="2052"/>
      <c r="B7" s="2053"/>
      <c r="C7" s="2053"/>
      <c r="D7" s="2054"/>
      <c r="E7" s="173" t="s">
        <v>528</v>
      </c>
      <c r="F7" s="231"/>
      <c r="G7" s="231"/>
      <c r="H7" s="750"/>
      <c r="K7" s="1572" t="s">
        <v>1045</v>
      </c>
      <c r="L7" s="1573" t="s">
        <v>355</v>
      </c>
      <c r="M7" s="1572" t="s">
        <v>1045</v>
      </c>
      <c r="N7" s="1572" t="s">
        <v>355</v>
      </c>
    </row>
    <row r="8" spans="1:14" s="745" customFormat="1" ht="21" customHeight="1">
      <c r="A8" s="2039"/>
      <c r="B8" s="2055"/>
      <c r="C8" s="2055"/>
      <c r="D8" s="2040"/>
      <c r="E8" s="746"/>
      <c r="F8" s="750"/>
      <c r="G8" s="750"/>
      <c r="H8" s="231"/>
      <c r="K8" s="1487" t="s">
        <v>975</v>
      </c>
      <c r="L8" s="1574" t="s">
        <v>976</v>
      </c>
      <c r="M8" s="1576" t="s">
        <v>1088</v>
      </c>
      <c r="N8" s="1576" t="s">
        <v>1089</v>
      </c>
    </row>
    <row r="9" spans="1:14" ht="22.5" customHeight="1">
      <c r="A9" s="2024" t="s">
        <v>594</v>
      </c>
      <c r="B9" s="2058"/>
      <c r="C9" s="984" t="s">
        <v>187</v>
      </c>
      <c r="D9" s="855" t="s">
        <v>180</v>
      </c>
      <c r="E9" s="1577">
        <f>K9+M9</f>
        <v>4844</v>
      </c>
      <c r="F9" s="134"/>
      <c r="G9" s="134"/>
      <c r="H9" s="134"/>
      <c r="I9" s="743"/>
      <c r="K9" s="1570">
        <v>4842</v>
      </c>
      <c r="L9" s="1575" t="s">
        <v>433</v>
      </c>
      <c r="M9" s="1570">
        <v>2</v>
      </c>
      <c r="N9" s="1570" t="s">
        <v>433</v>
      </c>
    </row>
    <row r="10" spans="1:14" ht="22.5" customHeight="1">
      <c r="A10" s="1993"/>
      <c r="B10" s="2022"/>
      <c r="C10" s="985" t="s">
        <v>324</v>
      </c>
      <c r="D10" s="856" t="s">
        <v>154</v>
      </c>
      <c r="E10" s="1578">
        <f>ROUND((L10+N10)/1000,0)</f>
        <v>140388</v>
      </c>
      <c r="F10" s="134"/>
      <c r="G10" s="134"/>
      <c r="H10" s="134"/>
      <c r="I10" s="743"/>
      <c r="K10" s="1570" t="s">
        <v>433</v>
      </c>
      <c r="L10" s="1575">
        <v>140329396</v>
      </c>
      <c r="M10" s="1570" t="s">
        <v>433</v>
      </c>
      <c r="N10" s="1570">
        <v>58297</v>
      </c>
    </row>
    <row r="11" spans="1:14" ht="22.5" customHeight="1" thickBot="1">
      <c r="A11" s="2027"/>
      <c r="B11" s="2048"/>
      <c r="C11" s="1166" t="s">
        <v>189</v>
      </c>
      <c r="D11" s="1167" t="s">
        <v>176</v>
      </c>
      <c r="E11" s="1579">
        <f>IF(K9+M9=0,0,ROUND((L10+N10)/(K9+M9),0))</f>
        <v>28982</v>
      </c>
      <c r="F11" s="749"/>
      <c r="G11" s="749"/>
      <c r="H11" s="749"/>
      <c r="I11" s="743"/>
      <c r="K11" s="1570" t="s">
        <v>433</v>
      </c>
      <c r="L11" s="1575" t="s">
        <v>433</v>
      </c>
      <c r="M11" s="1570" t="s">
        <v>433</v>
      </c>
      <c r="N11" s="1570" t="s">
        <v>433</v>
      </c>
    </row>
    <row r="12" spans="1:14" ht="22.5" customHeight="1" thickTop="1">
      <c r="A12" s="1993" t="s">
        <v>589</v>
      </c>
      <c r="B12" s="2022"/>
      <c r="C12" s="1164" t="s">
        <v>187</v>
      </c>
      <c r="D12" s="1165" t="s">
        <v>180</v>
      </c>
      <c r="E12" s="1578">
        <f>K12+M12</f>
        <v>4831</v>
      </c>
      <c r="F12" s="134"/>
      <c r="G12" s="134"/>
      <c r="H12" s="134"/>
      <c r="I12" s="743"/>
      <c r="K12" s="1571">
        <v>4829</v>
      </c>
      <c r="L12" s="1575" t="s">
        <v>977</v>
      </c>
      <c r="M12" s="1571">
        <v>2</v>
      </c>
      <c r="N12" s="1570" t="s">
        <v>977</v>
      </c>
    </row>
    <row r="13" spans="1:14" ht="22.5" customHeight="1">
      <c r="A13" s="1993"/>
      <c r="B13" s="2022"/>
      <c r="C13" s="985" t="s">
        <v>324</v>
      </c>
      <c r="D13" s="856" t="s">
        <v>154</v>
      </c>
      <c r="E13" s="1578">
        <f>ROUND((L13+N13)/1000,0)</f>
        <v>140174</v>
      </c>
      <c r="F13" s="134"/>
      <c r="G13" s="134"/>
      <c r="H13" s="134"/>
      <c r="I13" s="743"/>
      <c r="K13" s="1571" t="s">
        <v>977</v>
      </c>
      <c r="L13" s="1575">
        <v>140115577</v>
      </c>
      <c r="M13" s="1571" t="s">
        <v>977</v>
      </c>
      <c r="N13" s="1570">
        <v>58297</v>
      </c>
    </row>
    <row r="14" spans="1:14" ht="22.5" customHeight="1">
      <c r="A14" s="1993"/>
      <c r="B14" s="2023"/>
      <c r="C14" s="986" t="s">
        <v>189</v>
      </c>
      <c r="D14" s="857" t="s">
        <v>176</v>
      </c>
      <c r="E14" s="1580">
        <f>IF(K12+M12=0,0,ROUND((L13+N13)/(K12+M12),0))</f>
        <v>29015</v>
      </c>
      <c r="F14" s="749"/>
      <c r="G14" s="749"/>
      <c r="H14" s="749"/>
      <c r="I14" s="743"/>
      <c r="K14" s="1570" t="s">
        <v>433</v>
      </c>
      <c r="L14" s="1575" t="s">
        <v>433</v>
      </c>
      <c r="M14" s="1570" t="s">
        <v>433</v>
      </c>
      <c r="N14" s="1570" t="s">
        <v>433</v>
      </c>
    </row>
    <row r="15" spans="1:14" ht="22.5" customHeight="1">
      <c r="A15" s="1145"/>
      <c r="B15" s="2059" t="s">
        <v>590</v>
      </c>
      <c r="C15" s="984" t="s">
        <v>187</v>
      </c>
      <c r="D15" s="855" t="s">
        <v>180</v>
      </c>
      <c r="E15" s="1577">
        <f>K15+M15</f>
        <v>3392</v>
      </c>
      <c r="F15" s="134"/>
      <c r="G15" s="134"/>
      <c r="H15" s="134"/>
      <c r="I15" s="743"/>
      <c r="K15" s="1571">
        <v>3392</v>
      </c>
      <c r="L15" s="1575" t="s">
        <v>977</v>
      </c>
      <c r="M15" s="1571">
        <v>0</v>
      </c>
      <c r="N15" s="1570" t="s">
        <v>977</v>
      </c>
    </row>
    <row r="16" spans="1:14" ht="22.5" customHeight="1">
      <c r="A16" s="1145"/>
      <c r="B16" s="2020"/>
      <c r="C16" s="985" t="s">
        <v>324</v>
      </c>
      <c r="D16" s="856" t="s">
        <v>154</v>
      </c>
      <c r="E16" s="1578">
        <f>ROUND((L16+N16)/1000,0)</f>
        <v>99727</v>
      </c>
      <c r="F16" s="134"/>
      <c r="G16" s="134"/>
      <c r="H16" s="134"/>
      <c r="I16" s="743"/>
      <c r="K16" s="1571" t="s">
        <v>977</v>
      </c>
      <c r="L16" s="1575">
        <v>99726971</v>
      </c>
      <c r="M16" s="1571" t="s">
        <v>977</v>
      </c>
      <c r="N16" s="1570">
        <v>0</v>
      </c>
    </row>
    <row r="17" spans="1:14" ht="22.5" customHeight="1">
      <c r="A17" s="1145"/>
      <c r="B17" s="2020"/>
      <c r="C17" s="1168" t="s">
        <v>189</v>
      </c>
      <c r="D17" s="1169" t="s">
        <v>176</v>
      </c>
      <c r="E17" s="1580">
        <f>IF(K15+M15=0,0,ROUND((L16+N16)/(K15+M15),0))</f>
        <v>29401</v>
      </c>
      <c r="F17" s="749"/>
      <c r="G17" s="749"/>
      <c r="H17" s="749"/>
      <c r="I17" s="743"/>
      <c r="K17" s="1570" t="s">
        <v>433</v>
      </c>
      <c r="L17" s="1575" t="s">
        <v>433</v>
      </c>
      <c r="M17" s="1570" t="s">
        <v>433</v>
      </c>
      <c r="N17" s="1570" t="s">
        <v>433</v>
      </c>
    </row>
    <row r="18" spans="1:14" ht="22.5" customHeight="1">
      <c r="A18" s="1146"/>
      <c r="B18" s="2059" t="s">
        <v>591</v>
      </c>
      <c r="C18" s="984" t="s">
        <v>187</v>
      </c>
      <c r="D18" s="855" t="s">
        <v>180</v>
      </c>
      <c r="E18" s="1577">
        <f>K18+M18</f>
        <v>1439</v>
      </c>
      <c r="F18" s="134"/>
      <c r="G18" s="134"/>
      <c r="H18" s="134"/>
      <c r="I18" s="743"/>
      <c r="K18" s="1571">
        <v>1437</v>
      </c>
      <c r="L18" s="1575" t="s">
        <v>977</v>
      </c>
      <c r="M18" s="1571">
        <v>2</v>
      </c>
      <c r="N18" s="1570" t="s">
        <v>977</v>
      </c>
    </row>
    <row r="19" spans="1:14" ht="22.5" customHeight="1">
      <c r="A19" s="1145"/>
      <c r="B19" s="2020"/>
      <c r="C19" s="985" t="s">
        <v>324</v>
      </c>
      <c r="D19" s="856" t="s">
        <v>154</v>
      </c>
      <c r="E19" s="1578">
        <f>ROUND((L19+N19)/1000,0)</f>
        <v>40447</v>
      </c>
      <c r="F19" s="134"/>
      <c r="G19" s="134"/>
      <c r="H19" s="134"/>
      <c r="I19" s="743"/>
      <c r="K19" s="1571" t="s">
        <v>977</v>
      </c>
      <c r="L19" s="1575">
        <v>40388606</v>
      </c>
      <c r="M19" s="1571" t="s">
        <v>977</v>
      </c>
      <c r="N19" s="1570">
        <v>58297</v>
      </c>
    </row>
    <row r="20" spans="1:14" ht="22.5" customHeight="1" thickBot="1">
      <c r="A20" s="1147"/>
      <c r="B20" s="2037"/>
      <c r="C20" s="1166" t="s">
        <v>189</v>
      </c>
      <c r="D20" s="1167" t="s">
        <v>176</v>
      </c>
      <c r="E20" s="1579">
        <f>IF(K18+M18=0,0,ROUND((L19+N19)/(K18+M18),0))</f>
        <v>28108</v>
      </c>
      <c r="F20" s="749"/>
      <c r="G20" s="749"/>
      <c r="H20" s="749"/>
      <c r="I20" s="743"/>
      <c r="K20" s="1570" t="s">
        <v>433</v>
      </c>
      <c r="L20" s="1575" t="s">
        <v>433</v>
      </c>
      <c r="M20" s="1570" t="s">
        <v>433</v>
      </c>
      <c r="N20" s="1570" t="s">
        <v>433</v>
      </c>
    </row>
    <row r="21" spans="1:14" ht="22.5" customHeight="1" thickTop="1">
      <c r="A21" s="1993" t="s">
        <v>155</v>
      </c>
      <c r="B21" s="2022"/>
      <c r="C21" s="1164" t="s">
        <v>187</v>
      </c>
      <c r="D21" s="1165" t="s">
        <v>180</v>
      </c>
      <c r="E21" s="1578">
        <f>K21+M21</f>
        <v>13</v>
      </c>
      <c r="F21" s="134"/>
      <c r="G21" s="134"/>
      <c r="H21" s="134"/>
      <c r="I21" s="743"/>
      <c r="K21" s="1571">
        <v>13</v>
      </c>
      <c r="L21" s="1575" t="s">
        <v>977</v>
      </c>
      <c r="M21" s="1571">
        <v>0</v>
      </c>
      <c r="N21" s="1570" t="s">
        <v>977</v>
      </c>
    </row>
    <row r="22" spans="1:14" ht="22.5" customHeight="1">
      <c r="A22" s="1993"/>
      <c r="B22" s="2022"/>
      <c r="C22" s="985" t="s">
        <v>324</v>
      </c>
      <c r="D22" s="856" t="s">
        <v>154</v>
      </c>
      <c r="E22" s="1578">
        <f>ROUND((L22+N22)/1000,0)</f>
        <v>214</v>
      </c>
      <c r="F22" s="134"/>
      <c r="G22" s="134"/>
      <c r="H22" s="134"/>
      <c r="I22" s="743"/>
      <c r="K22" s="1571" t="s">
        <v>977</v>
      </c>
      <c r="L22" s="1575">
        <v>213819</v>
      </c>
      <c r="M22" s="1571" t="s">
        <v>977</v>
      </c>
      <c r="N22" s="1570">
        <v>0</v>
      </c>
    </row>
    <row r="23" spans="1:14" ht="22.5" customHeight="1">
      <c r="A23" s="1994"/>
      <c r="B23" s="2023"/>
      <c r="C23" s="986" t="s">
        <v>189</v>
      </c>
      <c r="D23" s="857" t="s">
        <v>176</v>
      </c>
      <c r="E23" s="1581">
        <f>IF(K21+M21=0,0,ROUND((L22+N22)/(K21+M21),0))</f>
        <v>16448</v>
      </c>
      <c r="F23" s="749"/>
      <c r="G23" s="749"/>
      <c r="H23" s="749"/>
      <c r="I23" s="743"/>
      <c r="K23" s="1570" t="s">
        <v>433</v>
      </c>
      <c r="L23" s="1575" t="s">
        <v>433</v>
      </c>
      <c r="M23" s="1570" t="s">
        <v>433</v>
      </c>
      <c r="N23" s="1570" t="s">
        <v>433</v>
      </c>
    </row>
    <row r="25" spans="1:14">
      <c r="A25" s="760" t="s">
        <v>529</v>
      </c>
    </row>
  </sheetData>
  <mergeCells count="8">
    <mergeCell ref="M6:N6"/>
    <mergeCell ref="K6:L6"/>
    <mergeCell ref="A21:B23"/>
    <mergeCell ref="A6:D8"/>
    <mergeCell ref="A9:B11"/>
    <mergeCell ref="A12:B14"/>
    <mergeCell ref="B15:B17"/>
    <mergeCell ref="B18:B20"/>
  </mergeCells>
  <phoneticPr fontId="27"/>
  <printOptions gridLinesSet="0"/>
  <pageMargins left="0.78740157480314965" right="0.59055118110236227" top="0.78740157480314965" bottom="0.59055118110236227" header="0" footer="0.39370078740157483"/>
  <pageSetup paperSize="9" firstPageNumber="50" fitToHeight="0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G12"/>
  <sheetViews>
    <sheetView workbookViewId="0"/>
  </sheetViews>
  <sheetFormatPr defaultRowHeight="13.2"/>
  <cols>
    <col min="1" max="1" width="11.6640625" bestFit="1" customWidth="1" collapsed="1"/>
    <col min="2" max="2" width="6.77734375" customWidth="1" collapsed="1"/>
    <col min="3" max="3" width="5.44140625" customWidth="1" collapsed="1"/>
    <col min="4" max="4" width="10.88671875" customWidth="1" collapsed="1"/>
    <col min="6" max="6" width="7.44140625" bestFit="1" customWidth="1" collapsed="1"/>
    <col min="7" max="7" width="6.109375" customWidth="1" collapsed="1"/>
  </cols>
  <sheetData>
    <row r="1" spans="1:7">
      <c r="B1" s="917" t="s">
        <v>49</v>
      </c>
      <c r="C1" s="917" t="s">
        <v>452</v>
      </c>
      <c r="D1" s="658" t="s">
        <v>451</v>
      </c>
      <c r="E1" s="658" t="s">
        <v>450</v>
      </c>
      <c r="F1" s="658" t="s">
        <v>450</v>
      </c>
      <c r="G1" s="658" t="s">
        <v>449</v>
      </c>
    </row>
    <row r="2" spans="1:7">
      <c r="A2" t="s">
        <v>448</v>
      </c>
      <c r="B2" s="666">
        <f>IF(INT(TEXT(DATE(G2,5,1),"e"))=1,"元",INT(TEXT(DATE(G2,5,1),"e")))</f>
        <v>3</v>
      </c>
      <c r="C2" s="925" t="str">
        <f>TEXT(DATE(G2,5,1),"ggg")</f>
        <v>令和</v>
      </c>
      <c r="D2" t="str">
        <f>C2&amp;B2&amp;"年度"</f>
        <v>令和3年度</v>
      </c>
      <c r="E2" t="str">
        <f t="shared" ref="E2:E12" si="0">IF(B2=1,C2&amp;"元"&amp;"年",C2&amp;B2&amp;"年")</f>
        <v>令和3年</v>
      </c>
      <c r="F2" t="str">
        <f>B2&amp;"年度"</f>
        <v>3年度</v>
      </c>
      <c r="G2" s="1653" t="s">
        <v>1217</v>
      </c>
    </row>
    <row r="3" spans="1:7">
      <c r="A3" s="161" t="s">
        <v>447</v>
      </c>
      <c r="B3" s="666">
        <f t="shared" ref="B3:B12" si="1">IF(INT(TEXT(DATE(G3,5,1),"e"))=1,"元",INT(TEXT(DATE(G3,5,1),"e")))</f>
        <v>2</v>
      </c>
      <c r="C3" s="925" t="str">
        <f>TEXT(DATE(G3,5,1),"ggg")</f>
        <v>令和</v>
      </c>
      <c r="D3" t="str">
        <f t="shared" ref="D3:D12" si="2">C3&amp;B3&amp;"年度"</f>
        <v>令和2年度</v>
      </c>
      <c r="E3" t="str">
        <f t="shared" si="0"/>
        <v>令和2年</v>
      </c>
      <c r="F3" t="str">
        <f t="shared" ref="F3:F12" si="3">B3&amp;"年度"</f>
        <v>2年度</v>
      </c>
      <c r="G3">
        <f>$G$2-1</f>
        <v>2020</v>
      </c>
    </row>
    <row r="4" spans="1:7">
      <c r="A4" s="161" t="s">
        <v>446</v>
      </c>
      <c r="B4" s="666" t="str">
        <f t="shared" si="1"/>
        <v>元</v>
      </c>
      <c r="C4" s="925" t="str">
        <f t="shared" ref="C4:C12" si="4">TEXT(DATE(G4,5,1),"ggg")</f>
        <v>令和</v>
      </c>
      <c r="D4" t="str">
        <f t="shared" si="2"/>
        <v>令和元年度</v>
      </c>
      <c r="E4" t="str">
        <f t="shared" si="0"/>
        <v>令和元年</v>
      </c>
      <c r="F4" t="str">
        <f t="shared" si="3"/>
        <v>元年度</v>
      </c>
      <c r="G4">
        <f>$G$2-2</f>
        <v>2019</v>
      </c>
    </row>
    <row r="5" spans="1:7">
      <c r="A5" s="161" t="s">
        <v>445</v>
      </c>
      <c r="B5" s="666">
        <f t="shared" si="1"/>
        <v>30</v>
      </c>
      <c r="C5" s="925" t="str">
        <f t="shared" si="4"/>
        <v>平成</v>
      </c>
      <c r="D5" t="str">
        <f t="shared" si="2"/>
        <v>平成30年度</v>
      </c>
      <c r="E5" t="str">
        <f t="shared" si="0"/>
        <v>平成30年</v>
      </c>
      <c r="F5" t="str">
        <f t="shared" si="3"/>
        <v>30年度</v>
      </c>
      <c r="G5">
        <f>$G$2-3</f>
        <v>2018</v>
      </c>
    </row>
    <row r="6" spans="1:7">
      <c r="A6" t="s">
        <v>444</v>
      </c>
      <c r="B6" s="666">
        <f t="shared" si="1"/>
        <v>29</v>
      </c>
      <c r="C6" s="925" t="str">
        <f t="shared" si="4"/>
        <v>平成</v>
      </c>
      <c r="D6" t="str">
        <f t="shared" si="2"/>
        <v>平成29年度</v>
      </c>
      <c r="E6" t="str">
        <f t="shared" si="0"/>
        <v>平成29年</v>
      </c>
      <c r="F6" t="str">
        <f t="shared" si="3"/>
        <v>29年度</v>
      </c>
      <c r="G6">
        <f>$G$2-4</f>
        <v>2017</v>
      </c>
    </row>
    <row r="7" spans="1:7">
      <c r="A7" t="s">
        <v>443</v>
      </c>
      <c r="B7" s="666">
        <f t="shared" si="1"/>
        <v>28</v>
      </c>
      <c r="C7" s="925" t="str">
        <f t="shared" si="4"/>
        <v>平成</v>
      </c>
      <c r="D7" t="str">
        <f t="shared" si="2"/>
        <v>平成28年度</v>
      </c>
      <c r="E7" t="str">
        <f t="shared" si="0"/>
        <v>平成28年</v>
      </c>
      <c r="F7" t="str">
        <f t="shared" si="3"/>
        <v>28年度</v>
      </c>
      <c r="G7">
        <f>$G$2-5</f>
        <v>2016</v>
      </c>
    </row>
    <row r="8" spans="1:7">
      <c r="A8" t="s">
        <v>442</v>
      </c>
      <c r="B8" s="666">
        <f t="shared" si="1"/>
        <v>27</v>
      </c>
      <c r="C8" s="925" t="str">
        <f t="shared" si="4"/>
        <v>平成</v>
      </c>
      <c r="D8" t="str">
        <f t="shared" si="2"/>
        <v>平成27年度</v>
      </c>
      <c r="E8" t="str">
        <f t="shared" si="0"/>
        <v>平成27年</v>
      </c>
      <c r="F8" t="str">
        <f t="shared" si="3"/>
        <v>27年度</v>
      </c>
      <c r="G8">
        <f>$G$2-6</f>
        <v>2015</v>
      </c>
    </row>
    <row r="9" spans="1:7">
      <c r="A9" t="s">
        <v>441</v>
      </c>
      <c r="B9" s="666">
        <f t="shared" si="1"/>
        <v>26</v>
      </c>
      <c r="C9" s="925" t="str">
        <f t="shared" si="4"/>
        <v>平成</v>
      </c>
      <c r="D9" t="str">
        <f t="shared" si="2"/>
        <v>平成26年度</v>
      </c>
      <c r="E9" t="str">
        <f t="shared" si="0"/>
        <v>平成26年</v>
      </c>
      <c r="F9" t="str">
        <f t="shared" si="3"/>
        <v>26年度</v>
      </c>
      <c r="G9">
        <f>$G$2-7</f>
        <v>2014</v>
      </c>
    </row>
    <row r="10" spans="1:7">
      <c r="A10" t="s">
        <v>440</v>
      </c>
      <c r="B10" s="666">
        <f t="shared" si="1"/>
        <v>25</v>
      </c>
      <c r="C10" s="925" t="str">
        <f t="shared" si="4"/>
        <v>平成</v>
      </c>
      <c r="D10" t="str">
        <f t="shared" si="2"/>
        <v>平成25年度</v>
      </c>
      <c r="E10" t="str">
        <f t="shared" si="0"/>
        <v>平成25年</v>
      </c>
      <c r="F10" t="str">
        <f t="shared" si="3"/>
        <v>25年度</v>
      </c>
      <c r="G10">
        <f>$G$2-8</f>
        <v>2013</v>
      </c>
    </row>
    <row r="11" spans="1:7">
      <c r="A11" t="s">
        <v>439</v>
      </c>
      <c r="B11" s="666">
        <f t="shared" si="1"/>
        <v>24</v>
      </c>
      <c r="C11" s="925" t="str">
        <f t="shared" si="4"/>
        <v>平成</v>
      </c>
      <c r="D11" t="str">
        <f t="shared" si="2"/>
        <v>平成24年度</v>
      </c>
      <c r="E11" t="str">
        <f t="shared" si="0"/>
        <v>平成24年</v>
      </c>
      <c r="F11" t="str">
        <f t="shared" si="3"/>
        <v>24年度</v>
      </c>
      <c r="G11">
        <f>$G$2-9</f>
        <v>2012</v>
      </c>
    </row>
    <row r="12" spans="1:7">
      <c r="A12" t="s">
        <v>438</v>
      </c>
      <c r="B12" s="666">
        <f t="shared" si="1"/>
        <v>23</v>
      </c>
      <c r="C12" s="925" t="str">
        <f t="shared" si="4"/>
        <v>平成</v>
      </c>
      <c r="D12" t="str">
        <f t="shared" si="2"/>
        <v>平成23年度</v>
      </c>
      <c r="E12" t="str">
        <f t="shared" si="0"/>
        <v>平成23年</v>
      </c>
      <c r="F12" t="str">
        <f t="shared" si="3"/>
        <v>23年度</v>
      </c>
      <c r="G12">
        <f>$G$2-10</f>
        <v>2011</v>
      </c>
    </row>
  </sheetData>
  <phoneticPr fontId="2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44"/>
  <sheetViews>
    <sheetView view="pageBreakPreview" zoomScaleNormal="100" zoomScaleSheetLayoutView="100" workbookViewId="0"/>
  </sheetViews>
  <sheetFormatPr defaultColWidth="9" defaultRowHeight="10.8"/>
  <cols>
    <col min="1" max="1" width="4.21875" style="476" customWidth="1" collapsed="1"/>
    <col min="2" max="2" width="8.44140625" style="476" customWidth="1" collapsed="1"/>
    <col min="3" max="3" width="4.77734375" style="476" customWidth="1" collapsed="1"/>
    <col min="4" max="4" width="9" style="476" collapsed="1"/>
    <col min="5" max="5" width="7.88671875" style="476" customWidth="1" collapsed="1"/>
    <col min="6" max="6" width="9" style="476" collapsed="1"/>
    <col min="7" max="7" width="9" style="476" hidden="1" customWidth="1" collapsed="1"/>
    <col min="8" max="9" width="9" style="476" collapsed="1"/>
    <col min="10" max="10" width="8.88671875" style="476" customWidth="1" collapsed="1"/>
    <col min="11" max="11" width="10.109375" style="476" customWidth="1" collapsed="1"/>
    <col min="12" max="12" width="4.21875" style="476" customWidth="1" collapsed="1"/>
    <col min="13" max="13" width="6.6640625" style="476" hidden="1" customWidth="1" collapsed="1"/>
    <col min="14" max="14" width="8.21875" style="476" hidden="1" customWidth="1" collapsed="1"/>
    <col min="15" max="30" width="0" style="476" hidden="1" customWidth="1" collapsed="1"/>
    <col min="31" max="16384" width="9" style="476" collapsed="1"/>
  </cols>
  <sheetData>
    <row r="1" spans="1:22" s="22" customFormat="1" ht="18" customHeight="1">
      <c r="A1" s="625" t="s">
        <v>429</v>
      </c>
      <c r="M1" s="625"/>
    </row>
    <row r="2" spans="1:22" ht="12.75" customHeight="1"/>
    <row r="3" spans="1:22" ht="12" customHeight="1"/>
    <row r="4" spans="1:22" ht="15.75" customHeight="1"/>
    <row r="5" spans="1:22" ht="19.5" customHeight="1"/>
    <row r="6" spans="1:22" ht="20.100000000000001" customHeight="1"/>
    <row r="7" spans="1:22" ht="20.100000000000001" customHeight="1" thickBot="1">
      <c r="U7" s="476" t="s">
        <v>235</v>
      </c>
    </row>
    <row r="8" spans="1:22" ht="20.100000000000001" customHeight="1" thickBot="1">
      <c r="M8" s="477" t="s">
        <v>236</v>
      </c>
      <c r="N8" s="478" t="s">
        <v>237</v>
      </c>
      <c r="O8" s="479" t="s">
        <v>238</v>
      </c>
      <c r="P8" s="480" t="s">
        <v>239</v>
      </c>
      <c r="Q8" s="481" t="s">
        <v>240</v>
      </c>
      <c r="R8" s="1486" t="s">
        <v>1043</v>
      </c>
      <c r="T8" s="476" t="s">
        <v>241</v>
      </c>
      <c r="U8" s="476" t="s">
        <v>242</v>
      </c>
      <c r="V8" s="482" t="str">
        <f>"{"&amp;M9&amp;","&amp;M10&amp;","&amp;M11&amp;","&amp;M12&amp;","&amp;M13&amp;","&amp;M14&amp;","&amp;M15&amp;","&amp;M16&amp;","&amp;M17&amp;","&amp;M18&amp;"}"</f>
        <v>{24,25,26,27,28,29,30,元,2,3}</v>
      </c>
    </row>
    <row r="9" spans="1:22" ht="20.100000000000001" customHeight="1">
      <c r="M9" s="483">
        <f>情報!$B$11</f>
        <v>24</v>
      </c>
      <c r="N9" s="1545">
        <f>SUM(O9:Q9)+N31</f>
        <v>299.07119999999998</v>
      </c>
      <c r="O9" s="1622">
        <v>68.799400000000006</v>
      </c>
      <c r="P9" s="1623">
        <v>62.022500000000001</v>
      </c>
      <c r="Q9" s="1624">
        <v>167.52699999999999</v>
      </c>
      <c r="T9" s="476" t="s">
        <v>243</v>
      </c>
      <c r="U9" s="476" t="s">
        <v>244</v>
      </c>
      <c r="V9" s="482" t="str">
        <f>"{"&amp;M20&amp;","&amp;M21&amp;","&amp;M22&amp;","&amp;M23&amp;","&amp;M24&amp;","&amp;M25&amp;","&amp;M26&amp;","&amp;M27&amp;","&amp;M28&amp;","&amp;M29&amp;"}"</f>
        <v>{24,25,26,27,28,29,30,元,2,3}</v>
      </c>
    </row>
    <row r="10" spans="1:22" ht="20.100000000000001" customHeight="1">
      <c r="M10" s="483">
        <f>情報!$B$10</f>
        <v>25</v>
      </c>
      <c r="N10" s="1545">
        <f t="shared" ref="N10:N14" si="0">SUM(O10:Q10)+N32</f>
        <v>296.58120000000002</v>
      </c>
      <c r="O10" s="1622">
        <v>68.537300000000002</v>
      </c>
      <c r="P10" s="1623">
        <v>60.7119</v>
      </c>
      <c r="Q10" s="1624">
        <v>166.62530000000001</v>
      </c>
      <c r="S10" s="484" t="s">
        <v>245</v>
      </c>
      <c r="T10" s="476">
        <v>7</v>
      </c>
      <c r="U10" s="476" t="str">
        <f>O8</f>
        <v>多摩地区世帯数</v>
      </c>
      <c r="V10" s="482" t="str">
        <f>"{"&amp;O9&amp;","&amp;O10&amp;","&amp;O11&amp;","&amp;O12&amp;","&amp;O13&amp;","&amp;O14&amp;","&amp;O15&amp;","&amp;O16&amp;","&amp;O17&amp;","&amp;O18&amp;"}"</f>
        <v>{68.7994,68.5373,67.7474,66.3394,63.9459,62.1182,60.5667,59.5869,59.3687,58.4505}</v>
      </c>
    </row>
    <row r="11" spans="1:22" ht="20.100000000000001" customHeight="1">
      <c r="M11" s="483">
        <f>情報!$B$9</f>
        <v>26</v>
      </c>
      <c r="N11" s="1545">
        <f t="shared" si="0"/>
        <v>293.76440000000002</v>
      </c>
      <c r="O11" s="1622">
        <v>67.747399999999999</v>
      </c>
      <c r="P11" s="1623">
        <v>60.4251</v>
      </c>
      <c r="Q11" s="1624">
        <v>164.90979999999999</v>
      </c>
      <c r="T11" s="476">
        <v>6</v>
      </c>
      <c r="U11" s="476" t="str">
        <f>P8</f>
        <v>組合世帯数</v>
      </c>
      <c r="V11" s="482" t="str">
        <f>"{"&amp;P9&amp;","&amp;P10&amp;","&amp;P11&amp;","&amp;P12&amp;","&amp;P13&amp;","&amp;P14&amp;","&amp;P15&amp;","&amp;P16&amp;","&amp;P17&amp;","&amp;P18&amp;"}"</f>
        <v>{62.0225,60.7119,60.4251,60.4915,60.6639,61.0477,61.2396,61.825,62.0634,62.181}</v>
      </c>
    </row>
    <row r="12" spans="1:22" ht="20.100000000000001" customHeight="1">
      <c r="M12" s="483">
        <f>情報!$B$8</f>
        <v>27</v>
      </c>
      <c r="N12" s="1545">
        <f t="shared" si="0"/>
        <v>289.51600000000002</v>
      </c>
      <c r="O12" s="1622">
        <v>66.339399999999998</v>
      </c>
      <c r="P12" s="1623">
        <v>60.491500000000002</v>
      </c>
      <c r="Q12" s="1624">
        <v>162.0275</v>
      </c>
      <c r="T12" s="476">
        <v>8</v>
      </c>
      <c r="U12" s="476" t="str">
        <f>Q8</f>
        <v>特別区世帯数</v>
      </c>
      <c r="V12" s="482" t="str">
        <f>"{"&amp;Q9&amp;","&amp;Q10&amp;","&amp;Q11&amp;","&amp;Q12&amp;","&amp;Q13&amp;","&amp;Q14&amp;","&amp;Q15&amp;","&amp;Q16&amp;","&amp;Q17&amp;","&amp;Q18&amp;"}"</f>
        <v>{167.527,166.6253,164.9098,162.0275,156.5739,151.7742,148.0017,143.9655,141.0048,136.5382}</v>
      </c>
    </row>
    <row r="13" spans="1:22" ht="20.100000000000001" customHeight="1">
      <c r="M13" s="483">
        <f>情報!$B$7</f>
        <v>28</v>
      </c>
      <c r="N13" s="1545">
        <f t="shared" si="0"/>
        <v>281.81910000000005</v>
      </c>
      <c r="O13" s="1622">
        <v>63.945900000000002</v>
      </c>
      <c r="P13" s="1623">
        <v>60.663899999999998</v>
      </c>
      <c r="Q13" s="1624">
        <v>156.57390000000001</v>
      </c>
      <c r="T13" s="476">
        <v>1</v>
      </c>
      <c r="U13" s="476" t="str">
        <f>N30</f>
        <v>島しょ地区世帯数</v>
      </c>
      <c r="V13" s="482" t="str">
        <f>"{"&amp;N31&amp;","&amp;N32&amp;","&amp;N33&amp;","&amp;N34&amp;","&amp;N35&amp;","&amp;N36&amp;","&amp;N37&amp;","&amp;N38&amp;","&amp;N39&amp;","&amp;N40&amp;"}"</f>
        <v>{0.7223,0.7067,0.6821,0.6576,0.6354,0.6109,0.5861,0.5625,0.5392,0.5229}</v>
      </c>
    </row>
    <row r="14" spans="1:22" ht="20.100000000000001" customHeight="1">
      <c r="M14" s="483">
        <f>情報!$B$6</f>
        <v>29</v>
      </c>
      <c r="N14" s="1545">
        <f t="shared" si="0"/>
        <v>275.55100000000004</v>
      </c>
      <c r="O14" s="1622">
        <v>62.118200000000002</v>
      </c>
      <c r="P14" s="1623">
        <v>61.047699999999999</v>
      </c>
      <c r="Q14" s="1624">
        <v>151.77420000000001</v>
      </c>
      <c r="T14" s="476">
        <v>5</v>
      </c>
      <c r="U14" s="476" t="str">
        <f>P19</f>
        <v>多摩地区被保険者数</v>
      </c>
      <c r="V14" s="482" t="str">
        <f>"{"&amp;P20&amp;","&amp;P21&amp;","&amp;P22&amp;","&amp;P23&amp;","&amp;P24&amp;","&amp;P25&amp;","&amp;P26&amp;","&amp;P27&amp;","&amp;P28&amp;","&amp;P29&amp;"}"</f>
        <v>{114.511,112.809,109.9099,105.7684,99.8295,95.1804,91.3839,88.7019,87.599,85.3235}</v>
      </c>
    </row>
    <row r="15" spans="1:22" ht="20.100000000000001" customHeight="1">
      <c r="M15" s="483">
        <f>情報!$B$5</f>
        <v>30</v>
      </c>
      <c r="N15" s="1546">
        <f>SUM(O15:Q15)+N37</f>
        <v>270.39409999999998</v>
      </c>
      <c r="O15" s="1622">
        <v>60.566699999999997</v>
      </c>
      <c r="P15" s="1623">
        <v>61.239600000000003</v>
      </c>
      <c r="Q15" s="1624">
        <v>148.0017</v>
      </c>
      <c r="T15" s="476">
        <v>4</v>
      </c>
      <c r="U15" s="476" t="str">
        <f>O19</f>
        <v>組合被保険者数</v>
      </c>
      <c r="V15" s="482" t="str">
        <f>"{"&amp;O20&amp;","&amp;O21&amp;","&amp;O22&amp;","&amp;O23&amp;","&amp;O24&amp;","&amp;O25&amp;","&amp;O26&amp;","&amp;O27&amp;","&amp;O28&amp;","&amp;O29&amp;"}"</f>
        <v>{136.2753,132.404,130.3323,128.8271,127.0374,126.0065,125.0034,124.7448,124.1949,123.2467}</v>
      </c>
    </row>
    <row r="16" spans="1:22" ht="20.100000000000001" customHeight="1">
      <c r="M16" s="483" t="str">
        <f>情報!$B$4</f>
        <v>元</v>
      </c>
      <c r="N16" s="1546">
        <f>SUM(O16:Q16)+N38</f>
        <v>265.93989999999997</v>
      </c>
      <c r="O16" s="1622">
        <v>59.5869</v>
      </c>
      <c r="P16" s="1623">
        <v>61.825000000000003</v>
      </c>
      <c r="Q16" s="1624">
        <v>143.96549999999999</v>
      </c>
      <c r="T16" s="476">
        <v>3</v>
      </c>
      <c r="U16" s="476" t="str">
        <f>Q19</f>
        <v>特別区被保険者数</v>
      </c>
      <c r="V16" s="482" t="str">
        <f>"{"&amp;Q20&amp;","&amp;Q21&amp;","&amp;Q22&amp;","&amp;Q23&amp;","&amp;Q24&amp;","&amp;Q25&amp;","&amp;Q26&amp;","&amp;Q27&amp;","&amp;Q28&amp;","&amp;Q29&amp;"}"</f>
        <v>{256.8686,252.6289,246.7936,238.3139,225.7943,214.8917,206.3769,198.2079,192.8366,185.0486}</v>
      </c>
    </row>
    <row r="17" spans="13:22" ht="20.100000000000001" customHeight="1">
      <c r="M17" s="483">
        <f>情報!$B$3</f>
        <v>2</v>
      </c>
      <c r="N17" s="1546">
        <f>SUM(O17:Q17)+N39</f>
        <v>262.97609999999997</v>
      </c>
      <c r="O17" s="1622">
        <v>59.368699999999997</v>
      </c>
      <c r="P17" s="1623">
        <v>62.063400000000001</v>
      </c>
      <c r="Q17" s="1624">
        <v>141.00479999999999</v>
      </c>
      <c r="T17" s="476">
        <v>2</v>
      </c>
      <c r="U17" s="476" t="str">
        <f>N19</f>
        <v>都計被保険者数</v>
      </c>
      <c r="V17" s="482" t="str">
        <f>"{"&amp;N20&amp;","&amp;N21&amp;","&amp;N22&amp;","&amp;N23&amp;","&amp;N24&amp;","&amp;N25&amp;","&amp;N26&amp;","&amp;N27&amp;","&amp;N28&amp;","&amp;N29&amp;"}"</f>
        <v>{508.8575,499.0061,488.1485,473.9689,453.6702,437.0322,423.6675,412.5112,405.4474,394.3984}</v>
      </c>
    </row>
    <row r="18" spans="13:22" ht="20.100000000000001" customHeight="1" thickBot="1">
      <c r="M18" s="485">
        <f>情報!$B$2</f>
        <v>3</v>
      </c>
      <c r="N18" s="1547">
        <f>SUM(O18:Q18)+N40</f>
        <v>257.69259999999997</v>
      </c>
      <c r="O18" s="1625">
        <v>58.450499999999998</v>
      </c>
      <c r="P18" s="1626">
        <v>62.180999999999997</v>
      </c>
      <c r="Q18" s="1627">
        <v>136.53819999999999</v>
      </c>
    </row>
    <row r="19" spans="13:22" ht="20.100000000000001" customHeight="1" thickBot="1">
      <c r="M19" s="479" t="s">
        <v>236</v>
      </c>
      <c r="N19" s="478" t="s">
        <v>246</v>
      </c>
      <c r="O19" s="479" t="s">
        <v>247</v>
      </c>
      <c r="P19" s="480" t="s">
        <v>248</v>
      </c>
      <c r="Q19" s="481" t="s">
        <v>249</v>
      </c>
      <c r="R19" s="1486" t="s">
        <v>1044</v>
      </c>
    </row>
    <row r="20" spans="13:22" ht="20.100000000000001" customHeight="1">
      <c r="M20" s="486">
        <f t="shared" ref="M20:M29" si="1">$M9</f>
        <v>24</v>
      </c>
      <c r="N20" s="1548">
        <f t="shared" ref="N20:N29" si="2">Q20+P20+O31+O20</f>
        <v>508.85749999999996</v>
      </c>
      <c r="O20" s="1622">
        <v>136.27529999999999</v>
      </c>
      <c r="P20" s="1623">
        <v>114.511</v>
      </c>
      <c r="Q20" s="1624">
        <v>256.86860000000001</v>
      </c>
    </row>
    <row r="21" spans="13:22" ht="20.100000000000001" customHeight="1">
      <c r="M21" s="486">
        <f t="shared" si="1"/>
        <v>25</v>
      </c>
      <c r="N21" s="1548">
        <f t="shared" si="2"/>
        <v>499.0061</v>
      </c>
      <c r="O21" s="1622">
        <v>132.404</v>
      </c>
      <c r="P21" s="1623">
        <v>112.809</v>
      </c>
      <c r="Q21" s="1624">
        <v>252.62889999999999</v>
      </c>
    </row>
    <row r="22" spans="13:22" ht="20.100000000000001" customHeight="1">
      <c r="M22" s="486">
        <f t="shared" si="1"/>
        <v>26</v>
      </c>
      <c r="N22" s="1548">
        <f t="shared" si="2"/>
        <v>488.14850000000001</v>
      </c>
      <c r="O22" s="1622">
        <v>130.3323</v>
      </c>
      <c r="P22" s="1623">
        <v>109.90989999999999</v>
      </c>
      <c r="Q22" s="1624">
        <v>246.7936</v>
      </c>
    </row>
    <row r="23" spans="13:22" ht="20.100000000000001" customHeight="1">
      <c r="M23" s="486">
        <f t="shared" si="1"/>
        <v>27</v>
      </c>
      <c r="N23" s="1548">
        <f t="shared" si="2"/>
        <v>473.96889999999996</v>
      </c>
      <c r="O23" s="1622">
        <v>128.8271</v>
      </c>
      <c r="P23" s="1623">
        <v>105.7684</v>
      </c>
      <c r="Q23" s="1624">
        <v>238.31389999999999</v>
      </c>
    </row>
    <row r="24" spans="13:22" ht="20.100000000000001" customHeight="1">
      <c r="M24" s="486">
        <f t="shared" si="1"/>
        <v>28</v>
      </c>
      <c r="N24" s="1548">
        <f t="shared" si="2"/>
        <v>453.67019999999997</v>
      </c>
      <c r="O24" s="1622">
        <v>127.03740000000001</v>
      </c>
      <c r="P24" s="1623">
        <v>99.829499999999996</v>
      </c>
      <c r="Q24" s="1624">
        <v>225.79429999999999</v>
      </c>
    </row>
    <row r="25" spans="13:22" ht="20.100000000000001" customHeight="1">
      <c r="M25" s="486">
        <f t="shared" si="1"/>
        <v>29</v>
      </c>
      <c r="N25" s="1548">
        <f t="shared" si="2"/>
        <v>437.03219999999999</v>
      </c>
      <c r="O25" s="1622">
        <v>126.0065</v>
      </c>
      <c r="P25" s="1623">
        <v>95.180400000000006</v>
      </c>
      <c r="Q25" s="1624">
        <v>214.89169999999999</v>
      </c>
    </row>
    <row r="26" spans="13:22" ht="20.100000000000001" customHeight="1">
      <c r="M26" s="486">
        <f t="shared" si="1"/>
        <v>30</v>
      </c>
      <c r="N26" s="1548">
        <f t="shared" si="2"/>
        <v>423.66750000000002</v>
      </c>
      <c r="O26" s="1622">
        <v>125.0034</v>
      </c>
      <c r="P26" s="1623">
        <v>91.383899999999997</v>
      </c>
      <c r="Q26" s="1624">
        <v>206.37690000000001</v>
      </c>
    </row>
    <row r="27" spans="13:22" ht="20.100000000000001" customHeight="1">
      <c r="M27" s="486" t="str">
        <f t="shared" si="1"/>
        <v>元</v>
      </c>
      <c r="N27" s="1548">
        <f t="shared" si="2"/>
        <v>412.51120000000003</v>
      </c>
      <c r="O27" s="1622">
        <v>124.7448</v>
      </c>
      <c r="P27" s="1623">
        <v>88.701899999999995</v>
      </c>
      <c r="Q27" s="1624">
        <v>198.2079</v>
      </c>
    </row>
    <row r="28" spans="13:22" ht="20.100000000000001" customHeight="1">
      <c r="M28" s="486">
        <f t="shared" si="1"/>
        <v>2</v>
      </c>
      <c r="N28" s="1548">
        <f t="shared" si="2"/>
        <v>405.44740000000002</v>
      </c>
      <c r="O28" s="1622">
        <v>124.1949</v>
      </c>
      <c r="P28" s="1623">
        <v>87.599000000000004</v>
      </c>
      <c r="Q28" s="1624">
        <v>192.8366</v>
      </c>
    </row>
    <row r="29" spans="13:22" ht="20.100000000000001" customHeight="1" thickBot="1">
      <c r="M29" s="486">
        <f t="shared" si="1"/>
        <v>3</v>
      </c>
      <c r="N29" s="1549">
        <f t="shared" si="2"/>
        <v>394.39840000000004</v>
      </c>
      <c r="O29" s="1625">
        <v>123.2467</v>
      </c>
      <c r="P29" s="1626">
        <v>85.323499999999996</v>
      </c>
      <c r="Q29" s="1627">
        <v>185.04859999999999</v>
      </c>
    </row>
    <row r="30" spans="13:22" ht="20.100000000000001" customHeight="1" thickBot="1">
      <c r="M30" s="479" t="s">
        <v>236</v>
      </c>
      <c r="N30" s="479" t="s">
        <v>250</v>
      </c>
      <c r="O30" s="481" t="s">
        <v>251</v>
      </c>
      <c r="P30" s="1486"/>
      <c r="U30" s="476" t="s">
        <v>235</v>
      </c>
    </row>
    <row r="31" spans="13:22" ht="20.100000000000001" customHeight="1">
      <c r="M31" s="487">
        <f t="shared" ref="M31:M40" si="3">M9</f>
        <v>24</v>
      </c>
      <c r="N31" s="1622">
        <v>0.72230000000000005</v>
      </c>
      <c r="O31" s="1624">
        <v>1.2025999999999999</v>
      </c>
      <c r="T31" s="476" t="s">
        <v>241</v>
      </c>
      <c r="U31" s="476" t="s">
        <v>242</v>
      </c>
      <c r="V31" s="482" t="str">
        <f>"{"&amp;M31&amp;","&amp;M32&amp;","&amp;M33&amp;","&amp;M34&amp;","&amp;M35&amp;","&amp;M36&amp;","&amp;M37&amp;","&amp;M38&amp;","&amp;M39&amp;","&amp;M40&amp;"}"</f>
        <v>{24,25,26,27,28,29,30,元,2,3}</v>
      </c>
    </row>
    <row r="32" spans="13:22" ht="20.100000000000001" customHeight="1">
      <c r="M32" s="487">
        <f t="shared" si="3"/>
        <v>25</v>
      </c>
      <c r="N32" s="1622">
        <v>0.70669999999999999</v>
      </c>
      <c r="O32" s="1624">
        <v>1.1641999999999999</v>
      </c>
      <c r="T32" s="476" t="s">
        <v>243</v>
      </c>
      <c r="U32" s="476" t="s">
        <v>244</v>
      </c>
      <c r="V32" s="482" t="str">
        <f>"{"&amp;M31&amp;","&amp;M32&amp;","&amp;M33&amp;","&amp;M34&amp;","&amp;M35&amp;","&amp;M36&amp;","&amp;M37&amp;","&amp;M38&amp;","&amp;M39&amp;","&amp;M40&amp;"}"</f>
        <v>{24,25,26,27,28,29,30,元,2,3}</v>
      </c>
    </row>
    <row r="33" spans="1:22" ht="20.100000000000001" customHeight="1">
      <c r="M33" s="487">
        <f t="shared" si="3"/>
        <v>26</v>
      </c>
      <c r="N33" s="1622">
        <v>0.68210000000000004</v>
      </c>
      <c r="O33" s="1624">
        <v>1.1127</v>
      </c>
      <c r="S33" s="484" t="s">
        <v>252</v>
      </c>
      <c r="T33" s="476">
        <v>1</v>
      </c>
      <c r="U33" s="476" t="str">
        <f>N30</f>
        <v>島しょ地区世帯数</v>
      </c>
      <c r="V33" s="482" t="str">
        <f>"{"&amp;N31&amp;","&amp;N32&amp;","&amp;N33&amp;","&amp;N34&amp;","&amp;N35&amp;","&amp;N36&amp;","&amp;N37&amp;","&amp;N38&amp;","&amp;N39&amp;","&amp;N40&amp;"}"</f>
        <v>{0.7223,0.7067,0.6821,0.6576,0.6354,0.6109,0.5861,0.5625,0.5392,0.5229}</v>
      </c>
    </row>
    <row r="34" spans="1:22" ht="20.100000000000001" customHeight="1">
      <c r="M34" s="487">
        <f t="shared" si="3"/>
        <v>27</v>
      </c>
      <c r="N34" s="1622">
        <v>0.65759999999999996</v>
      </c>
      <c r="O34" s="1624">
        <v>1.0595000000000001</v>
      </c>
      <c r="T34" s="476">
        <v>2</v>
      </c>
      <c r="U34" s="476" t="str">
        <f>O30</f>
        <v>島しょ地区被保険者数</v>
      </c>
      <c r="V34" s="482" t="str">
        <f>"{"&amp;O31&amp;","&amp;O32&amp;","&amp;O33&amp;","&amp;O34&amp;","&amp;O35&amp;","&amp;O36&amp;","&amp;O37&amp;","&amp;O38&amp;","&amp;O39&amp;","&amp;O40&amp;"}"</f>
        <v>{1.2026,1.1642,1.1127,1.0595,1.009,0.9536,0.9033,0.8566,0.8169,0.7796}</v>
      </c>
    </row>
    <row r="35" spans="1:22" ht="20.100000000000001" customHeight="1">
      <c r="M35" s="487">
        <f t="shared" si="3"/>
        <v>28</v>
      </c>
      <c r="N35" s="1622">
        <v>0.63539999999999996</v>
      </c>
      <c r="O35" s="1624">
        <v>1.0089999999999999</v>
      </c>
    </row>
    <row r="36" spans="1:22" ht="20.100000000000001" customHeight="1">
      <c r="M36" s="487">
        <f t="shared" si="3"/>
        <v>29</v>
      </c>
      <c r="N36" s="1622">
        <v>0.6109</v>
      </c>
      <c r="O36" s="1624">
        <v>0.9536</v>
      </c>
    </row>
    <row r="37" spans="1:22" ht="20.100000000000001" customHeight="1">
      <c r="M37" s="487">
        <f t="shared" si="3"/>
        <v>30</v>
      </c>
      <c r="N37" s="1622">
        <v>0.58609999999999995</v>
      </c>
      <c r="O37" s="1624">
        <v>0.90329999999999999</v>
      </c>
    </row>
    <row r="38" spans="1:22" ht="20.100000000000001" customHeight="1">
      <c r="M38" s="487" t="str">
        <f t="shared" si="3"/>
        <v>元</v>
      </c>
      <c r="N38" s="1622">
        <v>0.5625</v>
      </c>
      <c r="O38" s="1624">
        <v>0.85660000000000003</v>
      </c>
    </row>
    <row r="39" spans="1:22" ht="20.100000000000001" customHeight="1">
      <c r="M39" s="487">
        <f t="shared" si="3"/>
        <v>2</v>
      </c>
      <c r="N39" s="1622">
        <v>0.53920000000000001</v>
      </c>
      <c r="O39" s="1624">
        <v>0.81689999999999996</v>
      </c>
    </row>
    <row r="40" spans="1:22" ht="20.100000000000001" customHeight="1" thickBot="1">
      <c r="M40" s="488">
        <f t="shared" si="3"/>
        <v>3</v>
      </c>
      <c r="N40" s="1625">
        <v>0.52290000000000003</v>
      </c>
      <c r="O40" s="1627">
        <v>0.77959999999999996</v>
      </c>
    </row>
    <row r="41" spans="1:22" ht="20.100000000000001" customHeight="1">
      <c r="N41" s="1531" t="s">
        <v>1043</v>
      </c>
      <c r="O41" s="1531" t="s">
        <v>1044</v>
      </c>
    </row>
    <row r="42" spans="1:22" ht="19.5" customHeight="1">
      <c r="A42" s="482"/>
      <c r="B42" s="482"/>
      <c r="C42" s="482"/>
      <c r="D42" s="489"/>
      <c r="E42" s="489"/>
      <c r="F42" s="489"/>
      <c r="G42" s="490"/>
      <c r="H42" s="490"/>
      <c r="I42" s="489"/>
      <c r="J42" s="489"/>
      <c r="K42" s="489"/>
      <c r="L42" s="482"/>
      <c r="M42" s="489"/>
      <c r="N42" s="489"/>
      <c r="O42" s="489"/>
    </row>
    <row r="43" spans="1:22">
      <c r="A43" s="482"/>
      <c r="B43" s="482"/>
      <c r="C43" s="482"/>
      <c r="D43" s="489"/>
      <c r="E43" s="489"/>
      <c r="F43" s="489"/>
      <c r="G43" s="490"/>
      <c r="H43" s="490"/>
      <c r="I43" s="489"/>
      <c r="J43" s="489"/>
      <c r="K43" s="489"/>
      <c r="L43" s="482"/>
      <c r="M43" s="489"/>
      <c r="N43" s="489"/>
      <c r="O43" s="489"/>
    </row>
    <row r="44" spans="1:22">
      <c r="A44" s="482"/>
      <c r="B44" s="482"/>
      <c r="C44" s="482"/>
      <c r="D44" s="489"/>
      <c r="E44" s="489"/>
      <c r="F44" s="489"/>
      <c r="G44" s="490"/>
      <c r="H44" s="490"/>
      <c r="I44" s="489"/>
      <c r="J44" s="489"/>
      <c r="K44" s="489"/>
      <c r="L44" s="482"/>
      <c r="M44" s="489"/>
      <c r="N44" s="489"/>
      <c r="O44" s="489"/>
    </row>
  </sheetData>
  <phoneticPr fontId="27"/>
  <printOptions gridLinesSet="0"/>
  <pageMargins left="1.0629921259842521" right="0.86614173228346458" top="0.78740157480314965" bottom="0.59055118110236227" header="0" footer="0.39370078740157483"/>
  <pageSetup paperSize="9" scale="97" orientation="portrait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G23"/>
  <sheetViews>
    <sheetView showGridLines="0" view="pageBreakPreview" zoomScaleNormal="100" zoomScaleSheetLayoutView="100" workbookViewId="0"/>
  </sheetViews>
  <sheetFormatPr defaultColWidth="9" defaultRowHeight="12"/>
  <cols>
    <col min="1" max="1" width="4.109375" style="21" customWidth="1" collapsed="1"/>
    <col min="2" max="2" width="1.88671875" style="20" customWidth="1" collapsed="1"/>
    <col min="3" max="3" width="8.88671875" style="20" customWidth="1" collapsed="1"/>
    <col min="4" max="4" width="9.77734375" style="1" customWidth="1" collapsed="1"/>
    <col min="5" max="5" width="9.21875" style="1" customWidth="1" collapsed="1"/>
    <col min="6" max="9" width="8.77734375" style="1" customWidth="1" collapsed="1"/>
    <col min="10" max="10" width="8.21875" style="1" customWidth="1" collapsed="1"/>
    <col min="11" max="11" width="2.6640625" style="1" customWidth="1" collapsed="1"/>
    <col min="12" max="12" width="9" style="1" collapsed="1"/>
    <col min="13" max="33" width="0" style="1" hidden="1" customWidth="1" collapsed="1"/>
    <col min="34" max="16384" width="9" style="1" collapsed="1"/>
  </cols>
  <sheetData>
    <row r="1" spans="1:33" s="21" customFormat="1" ht="20.399999999999999" customHeight="1">
      <c r="A1" s="618" t="s">
        <v>48</v>
      </c>
      <c r="B1" s="771"/>
      <c r="C1" s="771"/>
      <c r="D1" s="760"/>
      <c r="E1" s="760"/>
      <c r="F1" s="760"/>
      <c r="G1" s="760"/>
      <c r="H1" s="859"/>
      <c r="I1" s="760"/>
      <c r="J1" s="760"/>
      <c r="K1" s="760"/>
      <c r="L1" s="760"/>
      <c r="M1" s="760"/>
    </row>
    <row r="2" spans="1:33" s="22" customFormat="1" ht="20.25" customHeight="1">
      <c r="A2" s="618"/>
      <c r="B2" s="618" t="str">
        <f>DBCS(情報!$D$2&amp;"における被保険者数等の異動状況は表２表３のとおりである。")</f>
        <v>令和３年度における被保険者数等の異動状況は表２表３のとおりである。</v>
      </c>
      <c r="C2" s="772"/>
      <c r="D2" s="635"/>
      <c r="E2" s="618"/>
      <c r="F2" s="618"/>
      <c r="G2" s="618"/>
      <c r="H2" s="618"/>
      <c r="I2" s="618"/>
      <c r="J2" s="618"/>
      <c r="K2" s="618"/>
      <c r="L2" s="618"/>
      <c r="M2" s="618"/>
    </row>
    <row r="3" spans="1:33" s="22" customFormat="1" ht="20.25" customHeight="1">
      <c r="C3" s="47"/>
      <c r="D3" s="626"/>
    </row>
    <row r="4" spans="1:33" s="22" customFormat="1" ht="20.25" customHeight="1">
      <c r="A4" s="623" t="s">
        <v>538</v>
      </c>
      <c r="B4" s="627"/>
      <c r="C4" s="628"/>
      <c r="D4" s="629"/>
      <c r="E4" s="629"/>
      <c r="F4" s="629"/>
      <c r="G4" s="629"/>
      <c r="H4" s="629"/>
      <c r="I4" s="629"/>
      <c r="J4" s="630" t="s">
        <v>432</v>
      </c>
      <c r="K4" s="629"/>
    </row>
    <row r="5" spans="1:33" s="21" customFormat="1" ht="28.5" customHeight="1">
      <c r="A5" s="539"/>
      <c r="B5" s="493" t="s">
        <v>12</v>
      </c>
      <c r="C5" s="540"/>
      <c r="D5" s="576" t="s">
        <v>13</v>
      </c>
      <c r="E5" s="493" t="s">
        <v>539</v>
      </c>
      <c r="F5" s="491"/>
      <c r="G5" s="491"/>
      <c r="H5" s="491"/>
      <c r="I5" s="616"/>
      <c r="J5" s="21" t="s">
        <v>14</v>
      </c>
      <c r="K5" s="548"/>
    </row>
    <row r="6" spans="1:33" s="21" customFormat="1" ht="18" customHeight="1">
      <c r="A6" s="539"/>
      <c r="B6" s="493"/>
      <c r="C6" s="540"/>
      <c r="D6" s="576"/>
      <c r="E6" s="541"/>
      <c r="F6" s="541" t="s">
        <v>15</v>
      </c>
      <c r="G6" s="885" t="s">
        <v>16</v>
      </c>
      <c r="H6" s="491"/>
      <c r="I6" s="616"/>
      <c r="K6" s="548"/>
      <c r="M6" s="1236" t="s">
        <v>608</v>
      </c>
      <c r="N6" s="1237"/>
      <c r="O6" s="1238"/>
      <c r="P6" s="1236" t="s">
        <v>609</v>
      </c>
      <c r="Q6" s="1237"/>
      <c r="R6" s="1238"/>
      <c r="S6" s="1236" t="s">
        <v>138</v>
      </c>
      <c r="T6" s="1237"/>
      <c r="U6" s="1238"/>
      <c r="V6" s="1236" t="s">
        <v>139</v>
      </c>
      <c r="W6" s="1237"/>
      <c r="X6" s="1238"/>
      <c r="Y6" s="1236" t="s">
        <v>606</v>
      </c>
      <c r="Z6" s="1237"/>
      <c r="AA6" s="1238"/>
      <c r="AB6" s="1236" t="s">
        <v>607</v>
      </c>
      <c r="AC6" s="1237"/>
      <c r="AD6" s="1238"/>
      <c r="AE6" s="1236" t="s">
        <v>155</v>
      </c>
      <c r="AF6" s="1237"/>
      <c r="AG6" s="1238"/>
    </row>
    <row r="7" spans="1:33" s="21" customFormat="1" ht="18" customHeight="1">
      <c r="A7" s="559"/>
      <c r="B7" s="492"/>
      <c r="C7" s="560"/>
      <c r="D7" s="560"/>
      <c r="E7" s="616"/>
      <c r="F7" s="616"/>
      <c r="G7" s="616"/>
      <c r="H7" s="887" t="s">
        <v>17</v>
      </c>
      <c r="I7" s="887" t="s">
        <v>18</v>
      </c>
      <c r="J7" s="491"/>
      <c r="K7" s="616"/>
      <c r="M7" s="1239" t="s">
        <v>611</v>
      </c>
      <c r="N7" s="1239" t="s">
        <v>612</v>
      </c>
      <c r="O7" s="1239" t="s">
        <v>613</v>
      </c>
      <c r="P7" s="1239" t="s">
        <v>610</v>
      </c>
      <c r="Q7" s="1239" t="s">
        <v>612</v>
      </c>
      <c r="R7" s="1239" t="s">
        <v>613</v>
      </c>
      <c r="S7" s="1239" t="s">
        <v>610</v>
      </c>
      <c r="T7" s="1239" t="s">
        <v>612</v>
      </c>
      <c r="U7" s="1239" t="s">
        <v>613</v>
      </c>
      <c r="V7" s="1239" t="s">
        <v>610</v>
      </c>
      <c r="W7" s="1239" t="s">
        <v>612</v>
      </c>
      <c r="X7" s="1239" t="s">
        <v>613</v>
      </c>
      <c r="Y7" s="1239" t="s">
        <v>610</v>
      </c>
      <c r="Z7" s="1239" t="s">
        <v>612</v>
      </c>
      <c r="AA7" s="1239" t="s">
        <v>613</v>
      </c>
      <c r="AB7" s="1239" t="s">
        <v>610</v>
      </c>
      <c r="AC7" s="1239" t="s">
        <v>612</v>
      </c>
      <c r="AD7" s="1239" t="s">
        <v>613</v>
      </c>
      <c r="AE7" s="1239" t="s">
        <v>610</v>
      </c>
      <c r="AF7" s="1239" t="s">
        <v>612</v>
      </c>
      <c r="AG7" s="1239" t="s">
        <v>613</v>
      </c>
    </row>
    <row r="8" spans="1:33" ht="45.15" customHeight="1">
      <c r="A8" s="555" t="str">
        <f>DBCS(情報!$B4)</f>
        <v>元</v>
      </c>
      <c r="B8" s="550"/>
      <c r="C8" s="556"/>
      <c r="D8" s="1582">
        <f>IF(M8=0,"-",ROUND((N8+O8)*100/M8,1))</f>
        <v>43.7</v>
      </c>
      <c r="E8" s="1582">
        <f>IF(P8=0,"-",ROUND((Q8+R8)*100/P8,1))</f>
        <v>52.6</v>
      </c>
      <c r="F8" s="1582">
        <f>IF(S8=0,"-",ROUND((T8+U8)*100/S8,1))</f>
        <v>56</v>
      </c>
      <c r="G8" s="1582">
        <f>IF(V8=0,"-",ROUND((W8+X8)*100/V8,1))</f>
        <v>45.1</v>
      </c>
      <c r="H8" s="1582">
        <f>IF(Y8=0,"-",ROUND((Z8+AA8)*100/Y8,1))</f>
        <v>45.3</v>
      </c>
      <c r="I8" s="1582">
        <f>IF(AB8=0,"-",ROUND((AC8+AD8)*100/AB8,1))</f>
        <v>27.4</v>
      </c>
      <c r="J8" s="1813">
        <f>IF(AE8=0,"-",ROUND((AF8+AG8)*100/AE8,1))</f>
        <v>22.7</v>
      </c>
      <c r="K8" s="1814"/>
      <c r="M8" s="1628">
        <v>4199027</v>
      </c>
      <c r="N8" s="1628">
        <v>862257</v>
      </c>
      <c r="O8" s="1628">
        <v>973821</v>
      </c>
      <c r="P8" s="1628">
        <v>2949463</v>
      </c>
      <c r="Q8" s="1628">
        <v>721884</v>
      </c>
      <c r="R8" s="1628">
        <v>830861</v>
      </c>
      <c r="S8" s="1628">
        <v>2035031</v>
      </c>
      <c r="T8" s="1628">
        <v>529221</v>
      </c>
      <c r="U8" s="1628">
        <v>610911</v>
      </c>
      <c r="V8" s="1628">
        <v>914432</v>
      </c>
      <c r="W8" s="1628">
        <v>192663</v>
      </c>
      <c r="X8" s="1628">
        <v>219950</v>
      </c>
      <c r="Y8" s="1628">
        <v>905648</v>
      </c>
      <c r="Z8" s="1628">
        <v>191692</v>
      </c>
      <c r="AA8" s="1628">
        <v>218512</v>
      </c>
      <c r="AB8" s="1628">
        <v>8784</v>
      </c>
      <c r="AC8" s="1628">
        <v>971</v>
      </c>
      <c r="AD8" s="1628">
        <v>1438</v>
      </c>
      <c r="AE8" s="1628">
        <v>1249564</v>
      </c>
      <c r="AF8" s="1628">
        <v>140373</v>
      </c>
      <c r="AG8" s="1628">
        <v>142960</v>
      </c>
    </row>
    <row r="9" spans="1:33" ht="45.15" customHeight="1">
      <c r="A9" s="555" t="str">
        <f>DBCS(情報!$B3)</f>
        <v>２</v>
      </c>
      <c r="B9" s="550"/>
      <c r="C9" s="556"/>
      <c r="D9" s="1582">
        <f>IF(M9=0,"-",ROUND((N9+O9)*100/M9,1))</f>
        <v>40.700000000000003</v>
      </c>
      <c r="E9" s="1582">
        <f>IF(P9=0,"-",ROUND((Q9+R9)*100/P9,1))</f>
        <v>49.1</v>
      </c>
      <c r="F9" s="1582">
        <f>IF(S9=0,"-",ROUND((T9+U9)*100/S9,1))</f>
        <v>52.4</v>
      </c>
      <c r="G9" s="1582">
        <f>IF(V9=0,"-",ROUND((W9+X9)*100/V9,1))</f>
        <v>41.8</v>
      </c>
      <c r="H9" s="1582">
        <f>IF(Y9=0,"-",ROUND((Z9+AA9)*100/Y9,1))</f>
        <v>42</v>
      </c>
      <c r="I9" s="1582">
        <f>IF(AB9=0,"-",ROUND((AC9+AD9)*100/AB9,1))</f>
        <v>24.4</v>
      </c>
      <c r="J9" s="1813">
        <f>IF(AE9=0,"-",ROUND((AF9+AG9)*100/AE9,1))</f>
        <v>21.3</v>
      </c>
      <c r="K9" s="1814"/>
      <c r="M9" s="1628">
        <v>4103704</v>
      </c>
      <c r="N9" s="1628">
        <v>799448</v>
      </c>
      <c r="O9" s="1628">
        <v>870232</v>
      </c>
      <c r="P9" s="1628">
        <v>2859129</v>
      </c>
      <c r="Q9" s="1628">
        <v>669502</v>
      </c>
      <c r="R9" s="1628">
        <v>734787</v>
      </c>
      <c r="S9" s="1628">
        <v>1963565</v>
      </c>
      <c r="T9" s="1628">
        <v>487986</v>
      </c>
      <c r="U9" s="1628">
        <v>541770</v>
      </c>
      <c r="V9" s="1628">
        <v>895564</v>
      </c>
      <c r="W9" s="1628">
        <v>181516</v>
      </c>
      <c r="X9" s="1628">
        <v>193017</v>
      </c>
      <c r="Y9" s="1628">
        <v>887228</v>
      </c>
      <c r="Z9" s="1628">
        <v>180698</v>
      </c>
      <c r="AA9" s="1628">
        <v>191805</v>
      </c>
      <c r="AB9" s="1628">
        <v>8336</v>
      </c>
      <c r="AC9" s="1628">
        <v>818</v>
      </c>
      <c r="AD9" s="1628">
        <v>1212</v>
      </c>
      <c r="AE9" s="1628">
        <v>1244575</v>
      </c>
      <c r="AF9" s="1628">
        <v>129946</v>
      </c>
      <c r="AG9" s="1628">
        <v>135445</v>
      </c>
    </row>
    <row r="10" spans="1:33" ht="45.15" customHeight="1">
      <c r="A10" s="555" t="str">
        <f>DBCS(情報!$B2)</f>
        <v>３</v>
      </c>
      <c r="B10" s="550"/>
      <c r="C10" s="556"/>
      <c r="D10" s="1582">
        <f>IF(M10=0,"-",ROUND((N10+O10)*100/M10,1))</f>
        <v>40.1</v>
      </c>
      <c r="E10" s="1582">
        <f>IF(P10=0,"-",ROUND((Q10+R10)*100/P10,1))</f>
        <v>48.2</v>
      </c>
      <c r="F10" s="1582">
        <f>IF(S10=0,"-",ROUND((T10+U10)*100/S10,1))</f>
        <v>51</v>
      </c>
      <c r="G10" s="1582">
        <f>IF(V10=0,"-",ROUND((W10+X10)*100/V10,1))</f>
        <v>42.3</v>
      </c>
      <c r="H10" s="1582">
        <f>IF(Y10=0,"-",ROUND((Z10+AA10)*100/Y10,1))</f>
        <v>42.4</v>
      </c>
      <c r="I10" s="1582">
        <f>IF(AB10=0,"-",ROUND((AC10+AD10)*100/AB10,1))</f>
        <v>24.4</v>
      </c>
      <c r="J10" s="1813">
        <f>IF(AE10=0,"-",ROUND((AF10+AG10)*100/AE10,1))</f>
        <v>21.9</v>
      </c>
      <c r="K10" s="1814"/>
      <c r="M10" s="1628">
        <v>4017885</v>
      </c>
      <c r="N10" s="1628">
        <v>750598</v>
      </c>
      <c r="O10" s="1628">
        <v>860777</v>
      </c>
      <c r="P10" s="1628">
        <v>2778580</v>
      </c>
      <c r="Q10" s="1628">
        <v>619939</v>
      </c>
      <c r="R10" s="1628">
        <v>720636</v>
      </c>
      <c r="S10" s="1628">
        <v>1898942</v>
      </c>
      <c r="T10" s="1628">
        <v>445618</v>
      </c>
      <c r="U10" s="1628">
        <v>523187</v>
      </c>
      <c r="V10" s="1628">
        <v>879638</v>
      </c>
      <c r="W10" s="1628">
        <v>174321</v>
      </c>
      <c r="X10" s="1628">
        <v>197449</v>
      </c>
      <c r="Y10" s="1628">
        <v>871620</v>
      </c>
      <c r="Z10" s="1628">
        <v>173531</v>
      </c>
      <c r="AA10" s="1628">
        <v>196286</v>
      </c>
      <c r="AB10" s="1628">
        <v>8018</v>
      </c>
      <c r="AC10" s="1628">
        <v>790</v>
      </c>
      <c r="AD10" s="1628">
        <v>1163</v>
      </c>
      <c r="AE10" s="1628">
        <v>1239305</v>
      </c>
      <c r="AF10" s="1628">
        <v>130659</v>
      </c>
      <c r="AG10" s="1628">
        <v>140141</v>
      </c>
    </row>
    <row r="11" spans="1:33" ht="7.5" customHeight="1"/>
    <row r="12" spans="1:33" ht="20.399999999999999" customHeight="1">
      <c r="M12" s="1235"/>
    </row>
    <row r="13" spans="1:33" ht="20.399999999999999" customHeight="1"/>
    <row r="14" spans="1:33" ht="20.399999999999999" customHeight="1"/>
    <row r="15" spans="1:33" ht="20.399999999999999" customHeight="1"/>
    <row r="16" spans="1:33" ht="20.399999999999999" customHeight="1"/>
    <row r="17" ht="20.399999999999999" customHeight="1"/>
    <row r="18" ht="20.399999999999999" customHeight="1"/>
    <row r="19" ht="20.399999999999999" customHeight="1"/>
    <row r="20" ht="20.399999999999999" customHeight="1"/>
    <row r="21" ht="20.399999999999999" customHeight="1"/>
    <row r="22" ht="20.399999999999999" customHeight="1"/>
    <row r="23" ht="20.399999999999999" customHeight="1"/>
  </sheetData>
  <sheetProtection selectLockedCells="1" selectUnlockedCells="1"/>
  <mergeCells count="3">
    <mergeCell ref="J8:K8"/>
    <mergeCell ref="J9:K9"/>
    <mergeCell ref="J10:K10"/>
  </mergeCells>
  <phoneticPr fontId="27"/>
  <pageMargins left="0.98425196850393704" right="0.98425196850393704" top="0.78740157480314965" bottom="0.59055118110236227" header="0.51181102362204722" footer="0.39370078740157483"/>
  <pageSetup paperSize="9" firstPageNumber="13" orientation="portrait" useFirstPageNumber="1" r:id="rId1"/>
  <headerFooter alignWithMargins="0"/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B117"/>
  <sheetViews>
    <sheetView view="pageBreakPreview" zoomScaleNormal="100" zoomScaleSheetLayoutView="100" workbookViewId="0"/>
  </sheetViews>
  <sheetFormatPr defaultColWidth="9" defaultRowHeight="13.2"/>
  <cols>
    <col min="1" max="1" width="4.77734375" style="633" customWidth="1" collapsed="1"/>
    <col min="2" max="2" width="11.77734375" style="633" customWidth="1" collapsed="1"/>
    <col min="3" max="3" width="10.109375" style="160" customWidth="1" collapsed="1"/>
    <col min="4" max="4" width="0.6640625" style="160" customWidth="1" collapsed="1"/>
    <col min="5" max="5" width="10.21875" style="160" customWidth="1" collapsed="1"/>
    <col min="6" max="6" width="0.6640625" style="160" customWidth="1" collapsed="1"/>
    <col min="7" max="7" width="10.109375" style="160" customWidth="1" collapsed="1"/>
    <col min="8" max="8" width="0.6640625" style="160" customWidth="1" collapsed="1"/>
    <col min="9" max="9" width="10.21875" style="160" customWidth="1" collapsed="1"/>
    <col min="10" max="10" width="0.6640625" style="160" customWidth="1" collapsed="1"/>
    <col min="11" max="11" width="10.109375" style="160" customWidth="1" collapsed="1"/>
    <col min="12" max="12" width="0.6640625" style="160" customWidth="1" collapsed="1"/>
    <col min="13" max="13" width="10.21875" style="160" customWidth="1" collapsed="1"/>
    <col min="14" max="14" width="0.6640625" style="160" customWidth="1" collapsed="1"/>
    <col min="15" max="15" width="0.88671875" style="160" customWidth="1" collapsed="1"/>
    <col min="16" max="16" width="11.77734375" style="160" customWidth="1" collapsed="1"/>
    <col min="17" max="17" width="10.109375" style="160" hidden="1" customWidth="1" collapsed="1"/>
    <col min="18" max="18" width="0.6640625" style="160" customWidth="1" collapsed="1"/>
    <col min="19" max="19" width="10.21875" style="160" customWidth="1" collapsed="1"/>
    <col min="20" max="20" width="0.6640625" style="160" customWidth="1" collapsed="1"/>
    <col min="21" max="21" width="10.109375" style="160" customWidth="1" collapsed="1"/>
    <col min="22" max="22" width="0.6640625" style="160" customWidth="1" collapsed="1"/>
    <col min="23" max="23" width="10.21875" style="160" customWidth="1" collapsed="1"/>
    <col min="24" max="24" width="0.6640625" style="160" customWidth="1" collapsed="1"/>
    <col min="25" max="25" width="10.109375" style="160" customWidth="1" collapsed="1"/>
    <col min="26" max="26" width="0.6640625" style="160" customWidth="1" collapsed="1"/>
    <col min="27" max="27" width="10.21875" style="160" customWidth="1" collapsed="1"/>
    <col min="28" max="28" width="0.6640625" style="160" customWidth="1" collapsed="1"/>
    <col min="29" max="16384" width="9" style="620" collapsed="1"/>
  </cols>
  <sheetData>
    <row r="1" spans="1:14" s="618" customFormat="1" ht="13.5" customHeight="1">
      <c r="A1" s="621" t="s">
        <v>253</v>
      </c>
      <c r="C1" s="631"/>
      <c r="D1" s="631"/>
      <c r="E1" s="631"/>
      <c r="F1" s="632"/>
      <c r="G1" s="632"/>
      <c r="H1" s="632"/>
      <c r="I1" s="632"/>
      <c r="J1" s="632"/>
      <c r="K1" s="632"/>
      <c r="L1" s="632"/>
      <c r="M1" s="632"/>
      <c r="N1" s="632"/>
    </row>
    <row r="2" spans="1:14" s="618" customFormat="1" ht="13.5" customHeight="1">
      <c r="A2" s="621"/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4" s="618" customFormat="1" ht="13.5" customHeight="1">
      <c r="A3" s="621" t="s">
        <v>19</v>
      </c>
      <c r="C3" s="631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</row>
    <row r="4" spans="1:14" s="618" customFormat="1" ht="13.5" customHeight="1">
      <c r="A4" s="633"/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4" t="s">
        <v>254</v>
      </c>
      <c r="N4" s="633"/>
    </row>
    <row r="5" spans="1:14" s="620" customFormat="1" ht="13.5" customHeight="1">
      <c r="A5" s="773" t="s">
        <v>20</v>
      </c>
      <c r="B5" s="774"/>
      <c r="C5" s="792" t="str">
        <f>情報!$D$4</f>
        <v>令和元年度</v>
      </c>
      <c r="D5" s="793"/>
      <c r="E5" s="794"/>
      <c r="F5" s="794"/>
      <c r="G5" s="792" t="str">
        <f>情報!$D$3</f>
        <v>令和2年度</v>
      </c>
      <c r="H5" s="793"/>
      <c r="I5" s="794"/>
      <c r="J5" s="794"/>
      <c r="K5" s="792" t="str">
        <f>情報!$D$2</f>
        <v>令和3年度</v>
      </c>
      <c r="L5" s="793"/>
      <c r="M5" s="794"/>
      <c r="N5" s="165"/>
    </row>
    <row r="6" spans="1:14" s="620" customFormat="1" ht="13.5" customHeight="1">
      <c r="A6" s="775"/>
      <c r="B6" s="776"/>
      <c r="C6" s="795"/>
      <c r="D6" s="796"/>
      <c r="E6" s="797" t="s">
        <v>255</v>
      </c>
      <c r="F6" s="798"/>
      <c r="G6" s="795"/>
      <c r="H6" s="796"/>
      <c r="I6" s="797" t="s">
        <v>255</v>
      </c>
      <c r="J6" s="798"/>
      <c r="K6" s="795"/>
      <c r="L6" s="796"/>
      <c r="M6" s="797" t="s">
        <v>255</v>
      </c>
      <c r="N6" s="168"/>
    </row>
    <row r="7" spans="1:14" s="620" customFormat="1" ht="13.5" customHeight="1">
      <c r="A7" s="777"/>
      <c r="B7" s="778" t="s">
        <v>21</v>
      </c>
      <c r="C7" s="169">
        <f>C37+C66</f>
        <v>260463</v>
      </c>
      <c r="D7" s="170"/>
      <c r="E7" s="1069">
        <f t="shared" ref="E7:E13" si="0">IF(ISERR(C7/C$13),"－",ROUND(C7/C$13*100,1))</f>
        <v>30.2</v>
      </c>
      <c r="F7" s="171"/>
      <c r="G7" s="169">
        <f>G37+G66</f>
        <v>207111</v>
      </c>
      <c r="H7" s="170"/>
      <c r="I7" s="1069">
        <f t="shared" ref="I7:I13" si="1">IF(ISERR(G7/G$13),"－",ROUND(G7/G$13*100,1))</f>
        <v>25.9</v>
      </c>
      <c r="J7" s="171"/>
      <c r="K7" s="169">
        <f>K37+K66</f>
        <v>183502</v>
      </c>
      <c r="L7" s="170"/>
      <c r="M7" s="1069">
        <f t="shared" ref="M7:M13" si="2">IF(ISERR(K7/K$13),"－",ROUND(K7/K$13*100,1))</f>
        <v>24.4</v>
      </c>
      <c r="N7" s="172"/>
    </row>
    <row r="8" spans="1:14" s="620" customFormat="1" ht="13.5" customHeight="1">
      <c r="A8" s="779" t="s">
        <v>22</v>
      </c>
      <c r="B8" s="780" t="s">
        <v>23</v>
      </c>
      <c r="C8" s="169">
        <f t="shared" ref="C8:C13" si="3">C97+C38+C67</f>
        <v>423718</v>
      </c>
      <c r="D8" s="170"/>
      <c r="E8" s="1069">
        <f t="shared" si="0"/>
        <v>49.1</v>
      </c>
      <c r="F8" s="171"/>
      <c r="G8" s="169">
        <f t="shared" ref="G8:G13" si="4">G97+G38+G67</f>
        <v>432790</v>
      </c>
      <c r="H8" s="170"/>
      <c r="I8" s="1069">
        <f t="shared" si="1"/>
        <v>54.1</v>
      </c>
      <c r="J8" s="171"/>
      <c r="K8" s="169">
        <f t="shared" ref="K8:K13" si="5">K97+K38+K67</f>
        <v>417555</v>
      </c>
      <c r="L8" s="170"/>
      <c r="M8" s="1069">
        <f t="shared" si="2"/>
        <v>55.6</v>
      </c>
      <c r="N8" s="172"/>
    </row>
    <row r="9" spans="1:14" s="620" customFormat="1" ht="13.5" customHeight="1">
      <c r="A9" s="781" t="s">
        <v>24</v>
      </c>
      <c r="B9" s="780" t="s">
        <v>25</v>
      </c>
      <c r="C9" s="169">
        <f t="shared" si="3"/>
        <v>7548</v>
      </c>
      <c r="D9" s="170"/>
      <c r="E9" s="1069">
        <f t="shared" si="0"/>
        <v>0.9</v>
      </c>
      <c r="F9" s="171"/>
      <c r="G9" s="169">
        <f t="shared" si="4"/>
        <v>6877</v>
      </c>
      <c r="H9" s="170"/>
      <c r="I9" s="1069">
        <f t="shared" si="1"/>
        <v>0.9</v>
      </c>
      <c r="J9" s="171"/>
      <c r="K9" s="169">
        <f t="shared" si="5"/>
        <v>6803</v>
      </c>
      <c r="L9" s="170"/>
      <c r="M9" s="1069">
        <f t="shared" si="2"/>
        <v>0.9</v>
      </c>
      <c r="N9" s="172"/>
    </row>
    <row r="10" spans="1:14" s="620" customFormat="1" ht="13.5" customHeight="1">
      <c r="A10" s="781" t="s">
        <v>26</v>
      </c>
      <c r="B10" s="778" t="s">
        <v>27</v>
      </c>
      <c r="C10" s="169">
        <f t="shared" si="3"/>
        <v>22431</v>
      </c>
      <c r="D10" s="170"/>
      <c r="E10" s="1069">
        <f t="shared" si="0"/>
        <v>2.6</v>
      </c>
      <c r="F10" s="171"/>
      <c r="G10" s="169">
        <f t="shared" si="4"/>
        <v>20612</v>
      </c>
      <c r="H10" s="170"/>
      <c r="I10" s="1069">
        <f t="shared" si="1"/>
        <v>2.6</v>
      </c>
      <c r="J10" s="171"/>
      <c r="K10" s="169">
        <f t="shared" si="5"/>
        <v>20293</v>
      </c>
      <c r="L10" s="170"/>
      <c r="M10" s="1069">
        <f t="shared" si="2"/>
        <v>2.7</v>
      </c>
      <c r="N10" s="172"/>
    </row>
    <row r="11" spans="1:14" s="620" customFormat="1" ht="13.5" customHeight="1">
      <c r="A11" s="779" t="s">
        <v>256</v>
      </c>
      <c r="B11" s="778" t="s">
        <v>257</v>
      </c>
      <c r="C11" s="174">
        <f t="shared" si="3"/>
        <v>278</v>
      </c>
      <c r="D11" s="170"/>
      <c r="E11" s="1069">
        <f t="shared" si="0"/>
        <v>0</v>
      </c>
      <c r="F11" s="171"/>
      <c r="G11" s="175">
        <f t="shared" si="4"/>
        <v>326</v>
      </c>
      <c r="H11" s="170"/>
      <c r="I11" s="1069">
        <f t="shared" si="1"/>
        <v>0</v>
      </c>
      <c r="J11" s="171"/>
      <c r="K11" s="175">
        <f t="shared" si="5"/>
        <v>45</v>
      </c>
      <c r="L11" s="170"/>
      <c r="M11" s="1069">
        <f t="shared" si="2"/>
        <v>0</v>
      </c>
      <c r="N11" s="172"/>
    </row>
    <row r="12" spans="1:14" s="620" customFormat="1" ht="13.5" customHeight="1">
      <c r="A12" s="779"/>
      <c r="B12" s="780" t="s">
        <v>29</v>
      </c>
      <c r="C12" s="169">
        <f t="shared" si="3"/>
        <v>147819</v>
      </c>
      <c r="D12" s="170"/>
      <c r="E12" s="1069">
        <f t="shared" si="0"/>
        <v>17.100000000000001</v>
      </c>
      <c r="F12" s="171"/>
      <c r="G12" s="169">
        <f t="shared" si="4"/>
        <v>131732</v>
      </c>
      <c r="H12" s="170"/>
      <c r="I12" s="1069">
        <f t="shared" si="1"/>
        <v>16.5</v>
      </c>
      <c r="J12" s="171"/>
      <c r="K12" s="169">
        <f t="shared" si="5"/>
        <v>122400</v>
      </c>
      <c r="L12" s="170"/>
      <c r="M12" s="1069">
        <f t="shared" si="2"/>
        <v>16.3</v>
      </c>
      <c r="N12" s="172"/>
    </row>
    <row r="13" spans="1:14" s="620" customFormat="1" ht="13.5" customHeight="1" thickBot="1">
      <c r="A13" s="782"/>
      <c r="B13" s="783" t="s">
        <v>30</v>
      </c>
      <c r="C13" s="176">
        <f t="shared" si="3"/>
        <v>862257</v>
      </c>
      <c r="D13" s="177"/>
      <c r="E13" s="1070">
        <f t="shared" si="0"/>
        <v>100</v>
      </c>
      <c r="F13" s="178"/>
      <c r="G13" s="176">
        <f t="shared" si="4"/>
        <v>799448</v>
      </c>
      <c r="H13" s="177"/>
      <c r="I13" s="1071">
        <f t="shared" si="1"/>
        <v>100</v>
      </c>
      <c r="J13" s="178"/>
      <c r="K13" s="176">
        <f t="shared" si="5"/>
        <v>750598</v>
      </c>
      <c r="L13" s="177"/>
      <c r="M13" s="1071">
        <f t="shared" si="2"/>
        <v>100</v>
      </c>
      <c r="N13" s="179"/>
    </row>
    <row r="14" spans="1:14" s="620" customFormat="1" ht="13.5" customHeight="1">
      <c r="A14" s="777"/>
      <c r="B14" s="778" t="s">
        <v>31</v>
      </c>
      <c r="C14" s="169">
        <f>C44+C73</f>
        <v>229463</v>
      </c>
      <c r="D14" s="170"/>
      <c r="E14" s="1072">
        <f t="shared" ref="E14:E20" si="6">IF(ISERR(C14/C$20),"－",ROUND(C14/C$20*100,1))</f>
        <v>23.6</v>
      </c>
      <c r="F14" s="180"/>
      <c r="G14" s="181">
        <f>G44+G73</f>
        <v>205827</v>
      </c>
      <c r="H14" s="182"/>
      <c r="I14" s="1072">
        <f t="shared" ref="I14:I20" si="7">IF(ISERR(G14/G$20),"－",ROUND(G14/G$20*100,1))</f>
        <v>23.7</v>
      </c>
      <c r="J14" s="180"/>
      <c r="K14" s="181">
        <f>K44+K73</f>
        <v>187914</v>
      </c>
      <c r="L14" s="182"/>
      <c r="M14" s="1072">
        <f t="shared" ref="M14:M20" si="8">IF(ISERR(K14/K$20),"－",ROUND(K14/K$20*100,1))</f>
        <v>21.8</v>
      </c>
      <c r="N14" s="172"/>
    </row>
    <row r="15" spans="1:14" s="620" customFormat="1" ht="13.5" customHeight="1">
      <c r="A15" s="779" t="s">
        <v>32</v>
      </c>
      <c r="B15" s="780" t="s">
        <v>33</v>
      </c>
      <c r="C15" s="169">
        <f t="shared" ref="C15:C20" si="9">C103+C45+C74</f>
        <v>435757</v>
      </c>
      <c r="D15" s="170"/>
      <c r="E15" s="1069">
        <f t="shared" si="6"/>
        <v>44.7</v>
      </c>
      <c r="F15" s="171"/>
      <c r="G15" s="169">
        <f t="shared" ref="G15:G20" si="10">G103+G45+G74</f>
        <v>380890</v>
      </c>
      <c r="H15" s="170"/>
      <c r="I15" s="1069">
        <f t="shared" si="7"/>
        <v>43.8</v>
      </c>
      <c r="J15" s="171"/>
      <c r="K15" s="169">
        <f t="shared" ref="K15:K20" si="11">K103+K45+K74</f>
        <v>377066</v>
      </c>
      <c r="L15" s="170"/>
      <c r="M15" s="1069">
        <f t="shared" si="8"/>
        <v>43.8</v>
      </c>
      <c r="N15" s="172"/>
    </row>
    <row r="16" spans="1:14" s="620" customFormat="1" ht="13.5" customHeight="1">
      <c r="A16" s="781" t="s">
        <v>34</v>
      </c>
      <c r="B16" s="780" t="s">
        <v>35</v>
      </c>
      <c r="C16" s="169">
        <f t="shared" si="9"/>
        <v>14308</v>
      </c>
      <c r="D16" s="170"/>
      <c r="E16" s="1069">
        <f t="shared" si="6"/>
        <v>1.5</v>
      </c>
      <c r="F16" s="171"/>
      <c r="G16" s="169">
        <f t="shared" si="10"/>
        <v>15034</v>
      </c>
      <c r="H16" s="170"/>
      <c r="I16" s="1069">
        <f t="shared" si="7"/>
        <v>1.7</v>
      </c>
      <c r="J16" s="171"/>
      <c r="K16" s="169">
        <f t="shared" si="11"/>
        <v>14767</v>
      </c>
      <c r="L16" s="170"/>
      <c r="M16" s="1069">
        <f t="shared" si="8"/>
        <v>1.7</v>
      </c>
      <c r="N16" s="172"/>
    </row>
    <row r="17" spans="1:28" ht="13.5" customHeight="1">
      <c r="A17" s="781" t="s">
        <v>26</v>
      </c>
      <c r="B17" s="778" t="s">
        <v>36</v>
      </c>
      <c r="C17" s="169">
        <f t="shared" si="9"/>
        <v>19067</v>
      </c>
      <c r="D17" s="170"/>
      <c r="E17" s="1069">
        <f t="shared" si="6"/>
        <v>2</v>
      </c>
      <c r="F17" s="171"/>
      <c r="G17" s="169">
        <f t="shared" si="10"/>
        <v>19468</v>
      </c>
      <c r="H17" s="170"/>
      <c r="I17" s="1069">
        <f t="shared" si="7"/>
        <v>2.2000000000000002</v>
      </c>
      <c r="J17" s="171"/>
      <c r="K17" s="169">
        <f t="shared" si="11"/>
        <v>19974</v>
      </c>
      <c r="L17" s="170"/>
      <c r="M17" s="1069">
        <f t="shared" si="8"/>
        <v>2.2999999999999998</v>
      </c>
      <c r="N17" s="172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13.5" customHeight="1">
      <c r="A18" s="779" t="s">
        <v>256</v>
      </c>
      <c r="B18" s="778" t="s">
        <v>258</v>
      </c>
      <c r="C18" s="175">
        <f t="shared" si="9"/>
        <v>106304</v>
      </c>
      <c r="D18" s="170"/>
      <c r="E18" s="1069">
        <f t="shared" si="6"/>
        <v>10.9</v>
      </c>
      <c r="F18" s="171"/>
      <c r="G18" s="175">
        <f t="shared" si="10"/>
        <v>86410</v>
      </c>
      <c r="H18" s="170"/>
      <c r="I18" s="1069">
        <f t="shared" si="7"/>
        <v>9.9</v>
      </c>
      <c r="J18" s="171"/>
      <c r="K18" s="175">
        <f t="shared" si="11"/>
        <v>115950</v>
      </c>
      <c r="L18" s="170"/>
      <c r="M18" s="1069">
        <f t="shared" si="8"/>
        <v>13.5</v>
      </c>
      <c r="N18" s="172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3.5" customHeight="1">
      <c r="A19" s="779"/>
      <c r="B19" s="780" t="s">
        <v>29</v>
      </c>
      <c r="C19" s="169">
        <f t="shared" si="9"/>
        <v>168922</v>
      </c>
      <c r="D19" s="170"/>
      <c r="E19" s="1069">
        <f t="shared" si="6"/>
        <v>17.3</v>
      </c>
      <c r="F19" s="171"/>
      <c r="G19" s="169">
        <f t="shared" si="10"/>
        <v>162603</v>
      </c>
      <c r="H19" s="170"/>
      <c r="I19" s="1069">
        <f t="shared" si="7"/>
        <v>18.7</v>
      </c>
      <c r="J19" s="171"/>
      <c r="K19" s="169">
        <f t="shared" si="11"/>
        <v>145106</v>
      </c>
      <c r="L19" s="170"/>
      <c r="M19" s="1069">
        <f t="shared" si="8"/>
        <v>16.899999999999999</v>
      </c>
      <c r="N19" s="172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3.5" customHeight="1" thickBot="1">
      <c r="A20" s="782"/>
      <c r="B20" s="783" t="s">
        <v>30</v>
      </c>
      <c r="C20" s="176">
        <f t="shared" si="9"/>
        <v>973821</v>
      </c>
      <c r="D20" s="177"/>
      <c r="E20" s="1070">
        <f t="shared" si="6"/>
        <v>100</v>
      </c>
      <c r="F20" s="178"/>
      <c r="G20" s="176">
        <f t="shared" si="10"/>
        <v>870232</v>
      </c>
      <c r="H20" s="177"/>
      <c r="I20" s="1071">
        <f t="shared" si="7"/>
        <v>100</v>
      </c>
      <c r="J20" s="178"/>
      <c r="K20" s="176">
        <f t="shared" si="11"/>
        <v>860777</v>
      </c>
      <c r="L20" s="177"/>
      <c r="M20" s="1071">
        <f t="shared" si="8"/>
        <v>100</v>
      </c>
      <c r="N20" s="179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3.5" customHeight="1">
      <c r="A21" s="784"/>
      <c r="B21" s="780" t="s">
        <v>37</v>
      </c>
      <c r="C21" s="183"/>
      <c r="D21" s="184"/>
      <c r="E21" s="201">
        <f t="shared" ref="E21:E27" si="12">C7-C14</f>
        <v>31000</v>
      </c>
      <c r="F21" s="201"/>
      <c r="G21" s="185"/>
      <c r="H21" s="184"/>
      <c r="I21" s="201">
        <f t="shared" ref="I21:I27" si="13">G7-G14</f>
        <v>1284</v>
      </c>
      <c r="J21" s="201"/>
      <c r="K21" s="185"/>
      <c r="L21" s="184"/>
      <c r="M21" s="201">
        <f t="shared" ref="M21:M27" si="14">K7-K14</f>
        <v>-4412</v>
      </c>
      <c r="N21" s="1073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3.5" customHeight="1">
      <c r="A22" s="785"/>
      <c r="B22" s="778" t="s">
        <v>38</v>
      </c>
      <c r="C22" s="183"/>
      <c r="D22" s="184"/>
      <c r="E22" s="201">
        <f t="shared" si="12"/>
        <v>-12039</v>
      </c>
      <c r="F22" s="201"/>
      <c r="G22" s="183"/>
      <c r="H22" s="184"/>
      <c r="I22" s="201">
        <f t="shared" si="13"/>
        <v>51900</v>
      </c>
      <c r="J22" s="201"/>
      <c r="K22" s="183"/>
      <c r="L22" s="184"/>
      <c r="M22" s="201">
        <f t="shared" si="14"/>
        <v>40489</v>
      </c>
      <c r="N22" s="1073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 ht="13.5" customHeight="1">
      <c r="A23" s="785" t="s">
        <v>22</v>
      </c>
      <c r="B23" s="778" t="s">
        <v>39</v>
      </c>
      <c r="C23" s="183"/>
      <c r="D23" s="184"/>
      <c r="E23" s="201">
        <f t="shared" si="12"/>
        <v>-6760</v>
      </c>
      <c r="F23" s="201"/>
      <c r="G23" s="183"/>
      <c r="H23" s="184"/>
      <c r="I23" s="201">
        <f t="shared" si="13"/>
        <v>-8157</v>
      </c>
      <c r="J23" s="201"/>
      <c r="K23" s="183"/>
      <c r="L23" s="184"/>
      <c r="M23" s="201">
        <f t="shared" si="14"/>
        <v>-7964</v>
      </c>
      <c r="N23" s="1073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 ht="13.5" customHeight="1">
      <c r="A24" s="785" t="s">
        <v>32</v>
      </c>
      <c r="B24" s="778" t="s">
        <v>40</v>
      </c>
      <c r="C24" s="183"/>
      <c r="D24" s="184"/>
      <c r="E24" s="201">
        <f t="shared" si="12"/>
        <v>3364</v>
      </c>
      <c r="F24" s="201"/>
      <c r="G24" s="183"/>
      <c r="H24" s="184"/>
      <c r="I24" s="201">
        <f t="shared" si="13"/>
        <v>1144</v>
      </c>
      <c r="J24" s="201"/>
      <c r="K24" s="183"/>
      <c r="L24" s="184"/>
      <c r="M24" s="201">
        <f t="shared" si="14"/>
        <v>319</v>
      </c>
      <c r="N24" s="1073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 ht="13.5" customHeight="1">
      <c r="A25" s="785" t="s">
        <v>41</v>
      </c>
      <c r="B25" s="778" t="s">
        <v>259</v>
      </c>
      <c r="C25" s="183"/>
      <c r="D25" s="184"/>
      <c r="E25" s="201">
        <f t="shared" si="12"/>
        <v>-106026</v>
      </c>
      <c r="F25" s="201"/>
      <c r="G25" s="183"/>
      <c r="H25" s="184"/>
      <c r="I25" s="201">
        <f t="shared" si="13"/>
        <v>-86084</v>
      </c>
      <c r="J25" s="201"/>
      <c r="K25" s="183"/>
      <c r="L25" s="184"/>
      <c r="M25" s="201">
        <f t="shared" si="14"/>
        <v>-115905</v>
      </c>
      <c r="N25" s="1073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3.5" customHeight="1">
      <c r="A26" s="785"/>
      <c r="B26" s="780" t="s">
        <v>42</v>
      </c>
      <c r="C26" s="183"/>
      <c r="D26" s="186"/>
      <c r="E26" s="1074">
        <f t="shared" si="12"/>
        <v>-21103</v>
      </c>
      <c r="F26" s="1074"/>
      <c r="G26" s="183"/>
      <c r="H26" s="186"/>
      <c r="I26" s="1074">
        <f t="shared" si="13"/>
        <v>-30871</v>
      </c>
      <c r="J26" s="1074"/>
      <c r="K26" s="183"/>
      <c r="L26" s="186"/>
      <c r="M26" s="1074">
        <f t="shared" si="14"/>
        <v>-22706</v>
      </c>
      <c r="N26" s="1075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3.5" customHeight="1" thickBot="1">
      <c r="A27" s="786"/>
      <c r="B27" s="787" t="s">
        <v>43</v>
      </c>
      <c r="C27" s="187"/>
      <c r="D27" s="188"/>
      <c r="E27" s="1076">
        <f t="shared" si="12"/>
        <v>-111564</v>
      </c>
      <c r="F27" s="1076"/>
      <c r="G27" s="187"/>
      <c r="H27" s="188"/>
      <c r="I27" s="1076">
        <f t="shared" si="13"/>
        <v>-70784</v>
      </c>
      <c r="J27" s="1076"/>
      <c r="K27" s="187"/>
      <c r="L27" s="188"/>
      <c r="M27" s="1076">
        <f t="shared" si="14"/>
        <v>-110179</v>
      </c>
      <c r="N27" s="1077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3.5" customHeight="1">
      <c r="A28" s="788"/>
      <c r="B28" s="617"/>
      <c r="C28" s="138"/>
      <c r="D28" s="189"/>
      <c r="E28" s="138"/>
      <c r="F28" s="138"/>
      <c r="G28" s="138"/>
      <c r="H28" s="189"/>
      <c r="I28" s="138"/>
      <c r="J28" s="138"/>
      <c r="K28" s="138"/>
      <c r="L28" s="189"/>
      <c r="M28" s="138"/>
      <c r="N28" s="190"/>
    </row>
    <row r="29" spans="1:28" ht="13.5" customHeight="1">
      <c r="A29" s="789" t="s">
        <v>44</v>
      </c>
      <c r="B29" s="790"/>
      <c r="C29" s="183"/>
      <c r="D29" s="186"/>
      <c r="E29" s="1078">
        <f>C13+C20</f>
        <v>1836078</v>
      </c>
      <c r="F29" s="1078"/>
      <c r="G29" s="183"/>
      <c r="H29" s="186"/>
      <c r="I29" s="1078">
        <f>G13+G20</f>
        <v>1669680</v>
      </c>
      <c r="J29" s="1078"/>
      <c r="K29" s="183"/>
      <c r="L29" s="186"/>
      <c r="M29" s="1078">
        <f>K13+K20</f>
        <v>1611375</v>
      </c>
      <c r="N29" s="204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 ht="13.5" customHeight="1">
      <c r="A30" s="789" t="s">
        <v>45</v>
      </c>
      <c r="B30" s="790"/>
      <c r="C30" s="183"/>
      <c r="D30" s="191"/>
      <c r="E30" s="195">
        <v>4199027</v>
      </c>
      <c r="F30" s="138"/>
      <c r="G30" s="183"/>
      <c r="H30" s="191"/>
      <c r="I30" s="195">
        <v>4103704</v>
      </c>
      <c r="J30" s="138"/>
      <c r="K30" s="183"/>
      <c r="L30" s="191"/>
      <c r="M30" s="195">
        <v>4017885</v>
      </c>
      <c r="N30" s="192"/>
      <c r="O30" s="620"/>
      <c r="P30" s="620"/>
      <c r="Q30" s="1529" t="s">
        <v>611</v>
      </c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 ht="13.5" customHeight="1">
      <c r="A31" s="791" t="s">
        <v>260</v>
      </c>
      <c r="B31" s="790"/>
      <c r="C31" s="183"/>
      <c r="D31" s="186"/>
      <c r="E31" s="1069">
        <f>IF(ISERROR(E29*100/E30),"－",ROUND(E29*100/E30,1))</f>
        <v>43.7</v>
      </c>
      <c r="F31" s="1079"/>
      <c r="G31" s="183"/>
      <c r="H31" s="186"/>
      <c r="I31" s="1069">
        <f>IF(ISERROR(I29*100/I30),"－",ROUND(I29*100/I30,1))</f>
        <v>40.700000000000003</v>
      </c>
      <c r="J31" s="1079"/>
      <c r="K31" s="183"/>
      <c r="L31" s="186"/>
      <c r="M31" s="1069">
        <f>IF(ISERROR(M29*100/M30),"－",ROUND(M29*100/M30,1))</f>
        <v>40.1</v>
      </c>
      <c r="N31" s="172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 s="160" customFormat="1" ht="13.5" customHeight="1">
      <c r="A32" s="633"/>
      <c r="B32" s="633"/>
    </row>
    <row r="33" spans="1:17" s="160" customFormat="1" ht="13.5" customHeight="1">
      <c r="A33" s="621" t="s">
        <v>46</v>
      </c>
      <c r="B33" s="63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7" s="160" customFormat="1" ht="13.5" customHeight="1">
      <c r="A34" s="633"/>
      <c r="B34" s="636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4" t="s">
        <v>254</v>
      </c>
      <c r="N34" s="193"/>
    </row>
    <row r="35" spans="1:17" s="160" customFormat="1" ht="13.5" customHeight="1">
      <c r="A35" s="773" t="s">
        <v>20</v>
      </c>
      <c r="B35" s="774"/>
      <c r="C35" s="792" t="str">
        <f>C5</f>
        <v>令和元年度</v>
      </c>
      <c r="D35" s="793"/>
      <c r="E35" s="794"/>
      <c r="F35" s="794"/>
      <c r="G35" s="792" t="str">
        <f>G5</f>
        <v>令和2年度</v>
      </c>
      <c r="H35" s="793"/>
      <c r="I35" s="794"/>
      <c r="J35" s="794"/>
      <c r="K35" s="792" t="str">
        <f>K5</f>
        <v>令和3年度</v>
      </c>
      <c r="L35" s="793"/>
      <c r="M35" s="794"/>
      <c r="N35" s="165"/>
    </row>
    <row r="36" spans="1:17" s="160" customFormat="1" ht="13.5" customHeight="1">
      <c r="A36" s="775"/>
      <c r="B36" s="799"/>
      <c r="C36" s="795"/>
      <c r="D36" s="796"/>
      <c r="E36" s="797" t="s">
        <v>255</v>
      </c>
      <c r="F36" s="796"/>
      <c r="G36" s="795"/>
      <c r="H36" s="796"/>
      <c r="I36" s="800" t="s">
        <v>255</v>
      </c>
      <c r="J36" s="796"/>
      <c r="K36" s="795"/>
      <c r="L36" s="796"/>
      <c r="M36" s="800" t="s">
        <v>255</v>
      </c>
      <c r="N36" s="168"/>
    </row>
    <row r="37" spans="1:17" s="160" customFormat="1" ht="13.5" customHeight="1">
      <c r="A37" s="777"/>
      <c r="B37" s="778" t="s">
        <v>21</v>
      </c>
      <c r="C37" s="195">
        <v>209488</v>
      </c>
      <c r="D37" s="196"/>
      <c r="E37" s="1069">
        <f t="shared" ref="E37:E43" si="15">IF(ISERR(C37/C$43),"－",ROUND(C37/C$43*100,1))</f>
        <v>39.6</v>
      </c>
      <c r="F37" s="196"/>
      <c r="G37" s="195">
        <v>163173</v>
      </c>
      <c r="H37" s="196"/>
      <c r="I37" s="1069">
        <f t="shared" ref="I37:I43" si="16">IF(ISERR(G37/G$43),"－",ROUND(G37/G$43*100,1))</f>
        <v>33.4</v>
      </c>
      <c r="J37" s="196"/>
      <c r="K37" s="195">
        <v>142836</v>
      </c>
      <c r="L37" s="196"/>
      <c r="M37" s="1069">
        <f t="shared" ref="M37:M43" si="17">IF(ISERR(K37/K$43),"－",ROUND(K37/K$43*100,1))</f>
        <v>32.1</v>
      </c>
      <c r="N37" s="197"/>
      <c r="Q37" s="1529" t="s">
        <v>1051</v>
      </c>
    </row>
    <row r="38" spans="1:17" s="160" customFormat="1" ht="13.5" customHeight="1">
      <c r="A38" s="801" t="s">
        <v>22</v>
      </c>
      <c r="B38" s="780" t="s">
        <v>23</v>
      </c>
      <c r="C38" s="175">
        <v>268915</v>
      </c>
      <c r="D38" s="198"/>
      <c r="E38" s="1069">
        <f t="shared" si="15"/>
        <v>50.8</v>
      </c>
      <c r="F38" s="198"/>
      <c r="G38" s="175">
        <v>279523</v>
      </c>
      <c r="H38" s="198"/>
      <c r="I38" s="1069">
        <f t="shared" si="16"/>
        <v>57.3</v>
      </c>
      <c r="J38" s="198"/>
      <c r="K38" s="175">
        <v>264524</v>
      </c>
      <c r="L38" s="198"/>
      <c r="M38" s="1069">
        <f t="shared" si="17"/>
        <v>59.4</v>
      </c>
      <c r="N38" s="199"/>
      <c r="Q38" s="1529" t="s">
        <v>1052</v>
      </c>
    </row>
    <row r="39" spans="1:17" s="160" customFormat="1" ht="13.5" customHeight="1">
      <c r="A39" s="785" t="s">
        <v>24</v>
      </c>
      <c r="B39" s="780" t="s">
        <v>25</v>
      </c>
      <c r="C39" s="200">
        <v>4997</v>
      </c>
      <c r="D39" s="201"/>
      <c r="E39" s="1080">
        <f t="shared" si="15"/>
        <v>0.9</v>
      </c>
      <c r="F39" s="201"/>
      <c r="G39" s="200">
        <v>4547</v>
      </c>
      <c r="H39" s="202"/>
      <c r="I39" s="1069">
        <f t="shared" si="16"/>
        <v>0.9</v>
      </c>
      <c r="J39" s="202"/>
      <c r="K39" s="200">
        <v>4545</v>
      </c>
      <c r="L39" s="201"/>
      <c r="M39" s="1080">
        <f t="shared" si="17"/>
        <v>1</v>
      </c>
      <c r="N39" s="203"/>
      <c r="Q39" s="1529" t="s">
        <v>1053</v>
      </c>
    </row>
    <row r="40" spans="1:17" s="160" customFormat="1" ht="13.5" customHeight="1">
      <c r="A40" s="785" t="s">
        <v>26</v>
      </c>
      <c r="B40" s="778" t="s">
        <v>27</v>
      </c>
      <c r="C40" s="175">
        <v>7513</v>
      </c>
      <c r="D40" s="198"/>
      <c r="E40" s="1069">
        <f t="shared" si="15"/>
        <v>1.4</v>
      </c>
      <c r="F40" s="198"/>
      <c r="G40" s="175">
        <v>6409</v>
      </c>
      <c r="H40" s="198"/>
      <c r="I40" s="1069">
        <f t="shared" si="16"/>
        <v>1.3</v>
      </c>
      <c r="J40" s="198"/>
      <c r="K40" s="175">
        <v>6186</v>
      </c>
      <c r="L40" s="198"/>
      <c r="M40" s="1069">
        <f t="shared" si="17"/>
        <v>1.4</v>
      </c>
      <c r="N40" s="204"/>
      <c r="Q40" s="1529" t="s">
        <v>1054</v>
      </c>
    </row>
    <row r="41" spans="1:17" s="160" customFormat="1" ht="13.5" customHeight="1">
      <c r="A41" s="801" t="s">
        <v>28</v>
      </c>
      <c r="B41" s="778" t="s">
        <v>257</v>
      </c>
      <c r="C41" s="175">
        <v>44</v>
      </c>
      <c r="D41" s="198"/>
      <c r="E41" s="1069">
        <f t="shared" si="15"/>
        <v>0</v>
      </c>
      <c r="F41" s="198"/>
      <c r="G41" s="175">
        <v>32</v>
      </c>
      <c r="H41" s="198"/>
      <c r="I41" s="1069">
        <f t="shared" si="16"/>
        <v>0</v>
      </c>
      <c r="J41" s="198"/>
      <c r="K41" s="175">
        <v>30</v>
      </c>
      <c r="L41" s="198"/>
      <c r="M41" s="1069">
        <f t="shared" si="17"/>
        <v>0</v>
      </c>
      <c r="N41" s="204"/>
      <c r="Q41" s="1529" t="s">
        <v>1055</v>
      </c>
    </row>
    <row r="42" spans="1:17" s="160" customFormat="1" ht="13.5" customHeight="1">
      <c r="A42" s="801"/>
      <c r="B42" s="780" t="s">
        <v>29</v>
      </c>
      <c r="C42" s="175">
        <v>38264</v>
      </c>
      <c r="D42" s="198"/>
      <c r="E42" s="1069">
        <f t="shared" si="15"/>
        <v>7.2</v>
      </c>
      <c r="F42" s="198"/>
      <c r="G42" s="175">
        <v>34302</v>
      </c>
      <c r="H42" s="198"/>
      <c r="I42" s="1069">
        <f t="shared" si="16"/>
        <v>7</v>
      </c>
      <c r="J42" s="198"/>
      <c r="K42" s="175">
        <v>27497</v>
      </c>
      <c r="L42" s="198"/>
      <c r="M42" s="1069">
        <f t="shared" si="17"/>
        <v>6.2</v>
      </c>
      <c r="N42" s="204"/>
      <c r="Q42" s="1529" t="s">
        <v>1056</v>
      </c>
    </row>
    <row r="43" spans="1:17" s="160" customFormat="1" ht="13.5" customHeight="1" thickBot="1">
      <c r="A43" s="782"/>
      <c r="B43" s="787" t="s">
        <v>30</v>
      </c>
      <c r="C43" s="205">
        <f>SUM(C37:C42)</f>
        <v>529221</v>
      </c>
      <c r="D43" s="206"/>
      <c r="E43" s="1070">
        <f t="shared" si="15"/>
        <v>100</v>
      </c>
      <c r="F43" s="206"/>
      <c r="G43" s="205">
        <f>SUM(G37:G42)</f>
        <v>487986</v>
      </c>
      <c r="H43" s="206"/>
      <c r="I43" s="1071">
        <f t="shared" si="16"/>
        <v>100</v>
      </c>
      <c r="J43" s="206"/>
      <c r="K43" s="205">
        <f>SUM(K37:K42)</f>
        <v>445618</v>
      </c>
      <c r="L43" s="206"/>
      <c r="M43" s="1071">
        <f t="shared" si="17"/>
        <v>100</v>
      </c>
      <c r="N43" s="207"/>
    </row>
    <row r="44" spans="1:17" s="160" customFormat="1" ht="13.5" customHeight="1">
      <c r="A44" s="777"/>
      <c r="B44" s="778" t="s">
        <v>31</v>
      </c>
      <c r="C44" s="200">
        <v>185544</v>
      </c>
      <c r="D44" s="202"/>
      <c r="E44" s="1072">
        <f t="shared" ref="E44:E50" si="18">IF(ISERR(C44/C$50),"－",ROUND(C44/C$50*100,1))</f>
        <v>30.4</v>
      </c>
      <c r="F44" s="202"/>
      <c r="G44" s="200">
        <v>165732</v>
      </c>
      <c r="H44" s="202"/>
      <c r="I44" s="1072">
        <f t="shared" ref="I44:I50" si="19">IF(ISERR(G44/G$50),"－",ROUND(G44/G$50*100,1))</f>
        <v>30.6</v>
      </c>
      <c r="J44" s="202"/>
      <c r="K44" s="200">
        <v>149447</v>
      </c>
      <c r="L44" s="202"/>
      <c r="M44" s="1072">
        <f t="shared" ref="M44:M50" si="20">IF(ISERR(K44/K$50),"－",ROUND(K44/K$50*100,1))</f>
        <v>28.6</v>
      </c>
      <c r="N44" s="204"/>
      <c r="Q44" s="1529" t="s">
        <v>1057</v>
      </c>
    </row>
    <row r="45" spans="1:17" s="160" customFormat="1" ht="13.5" customHeight="1">
      <c r="A45" s="785" t="s">
        <v>32</v>
      </c>
      <c r="B45" s="780" t="s">
        <v>33</v>
      </c>
      <c r="C45" s="175">
        <v>283294</v>
      </c>
      <c r="D45" s="198"/>
      <c r="E45" s="1069">
        <f t="shared" si="18"/>
        <v>46.4</v>
      </c>
      <c r="F45" s="198"/>
      <c r="G45" s="175">
        <v>246069</v>
      </c>
      <c r="H45" s="198"/>
      <c r="I45" s="1069">
        <f t="shared" si="19"/>
        <v>45.4</v>
      </c>
      <c r="J45" s="198"/>
      <c r="K45" s="175">
        <v>241774</v>
      </c>
      <c r="L45" s="198"/>
      <c r="M45" s="1069">
        <f t="shared" si="20"/>
        <v>46.2</v>
      </c>
      <c r="N45" s="204"/>
      <c r="Q45" s="1529" t="s">
        <v>1058</v>
      </c>
    </row>
    <row r="46" spans="1:17" s="160" customFormat="1" ht="13.5" customHeight="1">
      <c r="A46" s="785" t="s">
        <v>34</v>
      </c>
      <c r="B46" s="780" t="s">
        <v>35</v>
      </c>
      <c r="C46" s="175">
        <v>9901</v>
      </c>
      <c r="D46" s="198"/>
      <c r="E46" s="1069">
        <f t="shared" si="18"/>
        <v>1.6</v>
      </c>
      <c r="F46" s="198"/>
      <c r="G46" s="175">
        <v>10483</v>
      </c>
      <c r="H46" s="198"/>
      <c r="I46" s="1069">
        <f t="shared" si="19"/>
        <v>1.9</v>
      </c>
      <c r="J46" s="198"/>
      <c r="K46" s="175">
        <v>10230</v>
      </c>
      <c r="L46" s="198"/>
      <c r="M46" s="1069">
        <f t="shared" si="20"/>
        <v>2</v>
      </c>
      <c r="N46" s="204"/>
      <c r="Q46" s="1529" t="s">
        <v>1059</v>
      </c>
    </row>
    <row r="47" spans="1:17" s="160" customFormat="1" ht="13.5" customHeight="1">
      <c r="A47" s="785" t="s">
        <v>26</v>
      </c>
      <c r="B47" s="778" t="s">
        <v>36</v>
      </c>
      <c r="C47" s="175">
        <v>11004</v>
      </c>
      <c r="D47" s="198"/>
      <c r="E47" s="1069">
        <f t="shared" si="18"/>
        <v>1.8</v>
      </c>
      <c r="F47" s="198"/>
      <c r="G47" s="175">
        <v>11316</v>
      </c>
      <c r="H47" s="198"/>
      <c r="I47" s="1069">
        <f t="shared" si="19"/>
        <v>2.1</v>
      </c>
      <c r="J47" s="198"/>
      <c r="K47" s="175">
        <v>11659</v>
      </c>
      <c r="L47" s="198"/>
      <c r="M47" s="1069">
        <f t="shared" si="20"/>
        <v>2.2000000000000002</v>
      </c>
      <c r="N47" s="204"/>
      <c r="Q47" s="1529" t="s">
        <v>1060</v>
      </c>
    </row>
    <row r="48" spans="1:17" s="160" customFormat="1" ht="13.5" customHeight="1">
      <c r="A48" s="801" t="s">
        <v>28</v>
      </c>
      <c r="B48" s="778" t="s">
        <v>258</v>
      </c>
      <c r="C48" s="175">
        <v>61292</v>
      </c>
      <c r="D48" s="198"/>
      <c r="E48" s="1069">
        <f t="shared" si="18"/>
        <v>10</v>
      </c>
      <c r="F48" s="198"/>
      <c r="G48" s="175">
        <v>50229</v>
      </c>
      <c r="H48" s="198"/>
      <c r="I48" s="1069">
        <f t="shared" si="19"/>
        <v>9.3000000000000007</v>
      </c>
      <c r="J48" s="198"/>
      <c r="K48" s="175">
        <v>67508</v>
      </c>
      <c r="L48" s="198"/>
      <c r="M48" s="1069">
        <f t="shared" si="20"/>
        <v>12.9</v>
      </c>
      <c r="N48" s="204"/>
      <c r="Q48" s="1529" t="s">
        <v>1061</v>
      </c>
    </row>
    <row r="49" spans="1:28" s="160" customFormat="1" ht="13.5" customHeight="1">
      <c r="A49" s="801"/>
      <c r="B49" s="780" t="s">
        <v>29</v>
      </c>
      <c r="C49" s="175">
        <v>59876</v>
      </c>
      <c r="D49" s="198"/>
      <c r="E49" s="1069">
        <f t="shared" si="18"/>
        <v>9.8000000000000007</v>
      </c>
      <c r="F49" s="198"/>
      <c r="G49" s="175">
        <v>57941</v>
      </c>
      <c r="H49" s="198"/>
      <c r="I49" s="1069">
        <f t="shared" si="19"/>
        <v>10.7</v>
      </c>
      <c r="J49" s="198"/>
      <c r="K49" s="175">
        <v>42569</v>
      </c>
      <c r="L49" s="198"/>
      <c r="M49" s="1069">
        <f t="shared" si="20"/>
        <v>8.1</v>
      </c>
      <c r="N49" s="204"/>
      <c r="Q49" s="1529" t="s">
        <v>1096</v>
      </c>
    </row>
    <row r="50" spans="1:28" s="160" customFormat="1" ht="13.5" customHeight="1" thickBot="1">
      <c r="A50" s="782"/>
      <c r="B50" s="787" t="s">
        <v>30</v>
      </c>
      <c r="C50" s="205">
        <f>SUM(C44:C49)</f>
        <v>610911</v>
      </c>
      <c r="D50" s="206"/>
      <c r="E50" s="1070">
        <f t="shared" si="18"/>
        <v>100</v>
      </c>
      <c r="F50" s="206"/>
      <c r="G50" s="205">
        <f>SUM(G44:G49)</f>
        <v>541770</v>
      </c>
      <c r="H50" s="206"/>
      <c r="I50" s="1071">
        <f t="shared" si="19"/>
        <v>100</v>
      </c>
      <c r="J50" s="206"/>
      <c r="K50" s="205">
        <f>SUM(K44:K49)</f>
        <v>523187</v>
      </c>
      <c r="L50" s="206"/>
      <c r="M50" s="1071">
        <f t="shared" si="20"/>
        <v>100</v>
      </c>
      <c r="N50" s="207"/>
    </row>
    <row r="51" spans="1:28" s="160" customFormat="1" ht="13.5" customHeight="1">
      <c r="A51" s="784"/>
      <c r="B51" s="780" t="s">
        <v>37</v>
      </c>
      <c r="C51" s="201"/>
      <c r="D51" s="201"/>
      <c r="E51" s="1081">
        <f t="shared" ref="E51:E57" si="21">C37-C44</f>
        <v>23944</v>
      </c>
      <c r="F51" s="202"/>
      <c r="G51" s="201"/>
      <c r="H51" s="201"/>
      <c r="I51" s="1081">
        <f t="shared" ref="I51:I57" si="22">G37-G44</f>
        <v>-2559</v>
      </c>
      <c r="J51" s="202"/>
      <c r="K51" s="201"/>
      <c r="L51" s="201"/>
      <c r="M51" s="1081">
        <f t="shared" ref="M51:M57" si="23">K37-K44</f>
        <v>-6611</v>
      </c>
      <c r="N51" s="208"/>
    </row>
    <row r="52" spans="1:28" s="160" customFormat="1" ht="13.5" customHeight="1">
      <c r="A52" s="781"/>
      <c r="B52" s="778" t="s">
        <v>38</v>
      </c>
      <c r="C52" s="209"/>
      <c r="D52" s="210"/>
      <c r="E52" s="201">
        <f t="shared" si="21"/>
        <v>-14379</v>
      </c>
      <c r="F52" s="211"/>
      <c r="G52" s="209"/>
      <c r="H52" s="210"/>
      <c r="I52" s="201">
        <f t="shared" si="22"/>
        <v>33454</v>
      </c>
      <c r="J52" s="211"/>
      <c r="K52" s="209"/>
      <c r="L52" s="210"/>
      <c r="M52" s="201">
        <f t="shared" si="23"/>
        <v>22750</v>
      </c>
      <c r="N52" s="212"/>
    </row>
    <row r="53" spans="1:28" s="160" customFormat="1" ht="13.5" customHeight="1">
      <c r="A53" s="781" t="s">
        <v>22</v>
      </c>
      <c r="B53" s="778" t="s">
        <v>39</v>
      </c>
      <c r="C53" s="209"/>
      <c r="D53" s="210"/>
      <c r="E53" s="201">
        <f t="shared" si="21"/>
        <v>-4904</v>
      </c>
      <c r="F53" s="211"/>
      <c r="G53" s="209"/>
      <c r="H53" s="210"/>
      <c r="I53" s="201">
        <f t="shared" si="22"/>
        <v>-5936</v>
      </c>
      <c r="J53" s="211"/>
      <c r="K53" s="209"/>
      <c r="L53" s="210"/>
      <c r="M53" s="201">
        <f t="shared" si="23"/>
        <v>-5685</v>
      </c>
      <c r="N53" s="212"/>
    </row>
    <row r="54" spans="1:28" s="160" customFormat="1" ht="13.5" customHeight="1">
      <c r="A54" s="781" t="s">
        <v>32</v>
      </c>
      <c r="B54" s="778" t="s">
        <v>40</v>
      </c>
      <c r="C54" s="209"/>
      <c r="D54" s="210"/>
      <c r="E54" s="201">
        <f t="shared" si="21"/>
        <v>-3491</v>
      </c>
      <c r="F54" s="211"/>
      <c r="G54" s="209"/>
      <c r="H54" s="210"/>
      <c r="I54" s="201">
        <f t="shared" si="22"/>
        <v>-4907</v>
      </c>
      <c r="J54" s="211"/>
      <c r="K54" s="209"/>
      <c r="L54" s="210"/>
      <c r="M54" s="201">
        <f t="shared" si="23"/>
        <v>-5473</v>
      </c>
      <c r="N54" s="212"/>
    </row>
    <row r="55" spans="1:28" s="160" customFormat="1" ht="13.5" customHeight="1">
      <c r="A55" s="781" t="s">
        <v>41</v>
      </c>
      <c r="B55" s="778" t="s">
        <v>259</v>
      </c>
      <c r="C55" s="209"/>
      <c r="D55" s="210"/>
      <c r="E55" s="201">
        <f t="shared" si="21"/>
        <v>-61248</v>
      </c>
      <c r="F55" s="211"/>
      <c r="G55" s="209"/>
      <c r="H55" s="210"/>
      <c r="I55" s="201">
        <f t="shared" si="22"/>
        <v>-50197</v>
      </c>
      <c r="J55" s="211"/>
      <c r="K55" s="209"/>
      <c r="L55" s="210"/>
      <c r="M55" s="201">
        <f t="shared" si="23"/>
        <v>-67478</v>
      </c>
      <c r="N55" s="212"/>
    </row>
    <row r="56" spans="1:28" s="160" customFormat="1" ht="13.5" customHeight="1">
      <c r="A56" s="781"/>
      <c r="B56" s="780" t="s">
        <v>42</v>
      </c>
      <c r="C56" s="209"/>
      <c r="D56" s="213"/>
      <c r="E56" s="1074">
        <f t="shared" si="21"/>
        <v>-21612</v>
      </c>
      <c r="F56" s="214"/>
      <c r="G56" s="209"/>
      <c r="H56" s="213"/>
      <c r="I56" s="1074">
        <f t="shared" si="22"/>
        <v>-23639</v>
      </c>
      <c r="J56" s="214"/>
      <c r="K56" s="209"/>
      <c r="L56" s="213"/>
      <c r="M56" s="1074">
        <f t="shared" si="23"/>
        <v>-15072</v>
      </c>
      <c r="N56" s="215"/>
    </row>
    <row r="57" spans="1:28" s="160" customFormat="1" ht="13.5" customHeight="1" thickBot="1">
      <c r="A57" s="786"/>
      <c r="B57" s="787" t="s">
        <v>43</v>
      </c>
      <c r="C57" s="216"/>
      <c r="D57" s="217"/>
      <c r="E57" s="1076">
        <f t="shared" si="21"/>
        <v>-81690</v>
      </c>
      <c r="F57" s="218"/>
      <c r="G57" s="216"/>
      <c r="H57" s="217"/>
      <c r="I57" s="1076">
        <f t="shared" si="22"/>
        <v>-53784</v>
      </c>
      <c r="J57" s="218"/>
      <c r="K57" s="216"/>
      <c r="L57" s="217"/>
      <c r="M57" s="1076">
        <f t="shared" si="23"/>
        <v>-77569</v>
      </c>
      <c r="N57" s="197"/>
    </row>
    <row r="58" spans="1:28" s="160" customFormat="1" ht="13.5" customHeight="1">
      <c r="A58" s="789" t="s">
        <v>44</v>
      </c>
      <c r="B58" s="790"/>
      <c r="C58" s="195"/>
      <c r="D58" s="219"/>
      <c r="E58" s="195">
        <f>C43+C50</f>
        <v>1140132</v>
      </c>
      <c r="F58" s="220"/>
      <c r="G58" s="195"/>
      <c r="H58" s="219"/>
      <c r="I58" s="195">
        <f>G43+G50</f>
        <v>1029756</v>
      </c>
      <c r="J58" s="220"/>
      <c r="K58" s="195"/>
      <c r="L58" s="219"/>
      <c r="M58" s="1082">
        <f>K43+K50</f>
        <v>968805</v>
      </c>
      <c r="N58" s="221"/>
    </row>
    <row r="59" spans="1:28" s="160" customFormat="1" ht="15" customHeight="1">
      <c r="A59" s="789" t="s">
        <v>45</v>
      </c>
      <c r="B59" s="790"/>
      <c r="C59" s="209"/>
      <c r="D59" s="213"/>
      <c r="E59" s="1074">
        <v>2035031</v>
      </c>
      <c r="F59" s="214"/>
      <c r="G59" s="209"/>
      <c r="H59" s="213"/>
      <c r="I59" s="1074">
        <v>1963565</v>
      </c>
      <c r="J59" s="214"/>
      <c r="K59" s="209"/>
      <c r="L59" s="213"/>
      <c r="M59" s="1074">
        <v>1898942</v>
      </c>
      <c r="N59" s="215"/>
      <c r="Q59" s="1529" t="s">
        <v>611</v>
      </c>
    </row>
    <row r="60" spans="1:28" s="160" customFormat="1" ht="15" customHeight="1">
      <c r="A60" s="791" t="s">
        <v>260</v>
      </c>
      <c r="B60" s="790"/>
      <c r="C60" s="222"/>
      <c r="D60" s="223"/>
      <c r="E60" s="1069">
        <f>IF(ISERROR(E58*100/E59),"－",ROUND(E58*100/E59,1))</f>
        <v>56</v>
      </c>
      <c r="F60" s="224"/>
      <c r="G60" s="225"/>
      <c r="H60" s="226"/>
      <c r="I60" s="1069">
        <f>IF(ISERROR(I58*100/I59),"－",ROUND(I58*100/I59,1))</f>
        <v>52.4</v>
      </c>
      <c r="J60" s="224"/>
      <c r="K60" s="225"/>
      <c r="L60" s="226"/>
      <c r="M60" s="1069">
        <f>IF(ISERROR(M58*100/M59),"－",ROUND(M58*100/M59,1))</f>
        <v>51</v>
      </c>
      <c r="N60" s="227"/>
      <c r="Q60" s="620"/>
    </row>
    <row r="62" spans="1:28">
      <c r="A62" s="621" t="s">
        <v>47</v>
      </c>
      <c r="C62" s="228"/>
      <c r="D62" s="229"/>
      <c r="E62" s="228"/>
      <c r="F62" s="229"/>
      <c r="G62" s="228"/>
      <c r="H62" s="229"/>
      <c r="I62" s="228"/>
      <c r="J62" s="229"/>
      <c r="K62" s="228"/>
      <c r="L62" s="229"/>
      <c r="M62" s="228"/>
      <c r="N62" s="230"/>
      <c r="O62" s="620"/>
      <c r="P62" s="620"/>
      <c r="R62" s="620"/>
      <c r="S62" s="620"/>
      <c r="T62" s="620"/>
      <c r="U62" s="620"/>
      <c r="V62" s="620"/>
      <c r="W62" s="620"/>
      <c r="X62" s="620"/>
      <c r="Y62" s="620"/>
      <c r="Z62" s="620"/>
      <c r="AA62" s="620"/>
      <c r="AB62" s="620"/>
    </row>
    <row r="63" spans="1:28">
      <c r="B63" s="63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232" t="s">
        <v>254</v>
      </c>
      <c r="N63" s="233"/>
      <c r="O63" s="620"/>
      <c r="P63" s="620"/>
      <c r="R63" s="620"/>
      <c r="S63" s="620"/>
      <c r="T63" s="620"/>
      <c r="U63" s="620"/>
      <c r="V63" s="620"/>
      <c r="W63" s="620"/>
      <c r="X63" s="620"/>
      <c r="Y63" s="620"/>
      <c r="Z63" s="620"/>
      <c r="AA63" s="620"/>
      <c r="AB63" s="620"/>
    </row>
    <row r="64" spans="1:28">
      <c r="A64" s="802" t="s">
        <v>20</v>
      </c>
      <c r="B64" s="803"/>
      <c r="C64" s="792" t="str">
        <f>C5</f>
        <v>令和元年度</v>
      </c>
      <c r="D64" s="793"/>
      <c r="E64" s="794"/>
      <c r="F64" s="794"/>
      <c r="G64" s="792" t="str">
        <f>G5</f>
        <v>令和2年度</v>
      </c>
      <c r="H64" s="793"/>
      <c r="I64" s="794"/>
      <c r="J64" s="794"/>
      <c r="K64" s="792" t="str">
        <f>K5</f>
        <v>令和3年度</v>
      </c>
      <c r="L64" s="793"/>
      <c r="M64" s="794"/>
      <c r="N64" s="165"/>
      <c r="O64" s="620"/>
      <c r="P64" s="620"/>
      <c r="R64" s="620"/>
      <c r="S64" s="620"/>
      <c r="T64" s="620"/>
      <c r="U64" s="620"/>
      <c r="V64" s="620"/>
      <c r="W64" s="620"/>
      <c r="X64" s="620"/>
      <c r="Y64" s="620"/>
      <c r="Z64" s="620"/>
      <c r="AA64" s="620"/>
      <c r="AB64" s="620"/>
    </row>
    <row r="65" spans="1:17" s="620" customFormat="1">
      <c r="A65" s="775"/>
      <c r="B65" s="799"/>
      <c r="C65" s="795"/>
      <c r="D65" s="796"/>
      <c r="E65" s="797" t="s">
        <v>255</v>
      </c>
      <c r="F65" s="796"/>
      <c r="G65" s="795"/>
      <c r="H65" s="796"/>
      <c r="I65" s="800" t="s">
        <v>255</v>
      </c>
      <c r="J65" s="796"/>
      <c r="K65" s="795"/>
      <c r="L65" s="796"/>
      <c r="M65" s="800" t="s">
        <v>255</v>
      </c>
      <c r="N65" s="168"/>
      <c r="Q65" s="160"/>
    </row>
    <row r="66" spans="1:17" s="620" customFormat="1">
      <c r="A66" s="777"/>
      <c r="B66" s="778" t="s">
        <v>21</v>
      </c>
      <c r="C66" s="195">
        <v>50975</v>
      </c>
      <c r="D66" s="198"/>
      <c r="E66" s="1069">
        <f t="shared" ref="E66:E72" si="24">IF(ISERR(C66/C$72),"－",ROUND(C66/C$72*100,1))</f>
        <v>26.5</v>
      </c>
      <c r="F66" s="198"/>
      <c r="G66" s="195">
        <v>43938</v>
      </c>
      <c r="H66" s="198"/>
      <c r="I66" s="1069">
        <f t="shared" ref="I66:I72" si="25">IF(ISERR(G66/G$72),"－",ROUND(G66/G$72*100,1))</f>
        <v>24.2</v>
      </c>
      <c r="J66" s="198"/>
      <c r="K66" s="195">
        <v>40666</v>
      </c>
      <c r="L66" s="198"/>
      <c r="M66" s="1069">
        <f t="shared" ref="M66:M72" si="26">IF(ISERR(K66/K$72),"－",ROUND(K66/K$72*100,1))</f>
        <v>23.3</v>
      </c>
      <c r="N66" s="199"/>
      <c r="Q66" s="1529" t="s">
        <v>1051</v>
      </c>
    </row>
    <row r="67" spans="1:17" s="620" customFormat="1">
      <c r="A67" s="779" t="s">
        <v>22</v>
      </c>
      <c r="B67" s="780" t="s">
        <v>23</v>
      </c>
      <c r="C67" s="175">
        <v>122168</v>
      </c>
      <c r="D67" s="202"/>
      <c r="E67" s="1069">
        <f t="shared" si="24"/>
        <v>63.4</v>
      </c>
      <c r="F67" s="202"/>
      <c r="G67" s="175">
        <v>121550</v>
      </c>
      <c r="H67" s="202"/>
      <c r="I67" s="1069">
        <f t="shared" si="25"/>
        <v>67</v>
      </c>
      <c r="J67" s="202"/>
      <c r="K67" s="175">
        <v>119911</v>
      </c>
      <c r="L67" s="202"/>
      <c r="M67" s="1069">
        <f t="shared" si="26"/>
        <v>68.8</v>
      </c>
      <c r="N67" s="203"/>
      <c r="Q67" s="1529" t="s">
        <v>1052</v>
      </c>
    </row>
    <row r="68" spans="1:17" s="620" customFormat="1">
      <c r="A68" s="781" t="s">
        <v>24</v>
      </c>
      <c r="B68" s="780" t="s">
        <v>25</v>
      </c>
      <c r="C68" s="200">
        <v>2455</v>
      </c>
      <c r="D68" s="198"/>
      <c r="E68" s="1069">
        <f t="shared" si="24"/>
        <v>1.3</v>
      </c>
      <c r="F68" s="198"/>
      <c r="G68" s="200">
        <v>2246</v>
      </c>
      <c r="H68" s="198"/>
      <c r="I68" s="1069">
        <f t="shared" si="25"/>
        <v>1.2</v>
      </c>
      <c r="J68" s="198"/>
      <c r="K68" s="200">
        <v>2179</v>
      </c>
      <c r="L68" s="198"/>
      <c r="M68" s="1069">
        <f t="shared" si="26"/>
        <v>1.2</v>
      </c>
      <c r="N68" s="204"/>
      <c r="Q68" s="1529" t="s">
        <v>1053</v>
      </c>
    </row>
    <row r="69" spans="1:17" s="620" customFormat="1">
      <c r="A69" s="781" t="s">
        <v>26</v>
      </c>
      <c r="B69" s="778" t="s">
        <v>27</v>
      </c>
      <c r="C69" s="175">
        <v>2879</v>
      </c>
      <c r="D69" s="198"/>
      <c r="E69" s="1069">
        <f t="shared" si="24"/>
        <v>1.5</v>
      </c>
      <c r="F69" s="198"/>
      <c r="G69" s="175">
        <v>2621</v>
      </c>
      <c r="H69" s="198"/>
      <c r="I69" s="1069">
        <f t="shared" si="25"/>
        <v>1.4</v>
      </c>
      <c r="J69" s="198"/>
      <c r="K69" s="175">
        <v>2428</v>
      </c>
      <c r="L69" s="198"/>
      <c r="M69" s="1069">
        <f t="shared" si="26"/>
        <v>1.4</v>
      </c>
      <c r="N69" s="204"/>
      <c r="Q69" s="1529" t="s">
        <v>1054</v>
      </c>
    </row>
    <row r="70" spans="1:17" s="620" customFormat="1">
      <c r="A70" s="779" t="s">
        <v>28</v>
      </c>
      <c r="B70" s="778" t="s">
        <v>257</v>
      </c>
      <c r="C70" s="175">
        <v>17</v>
      </c>
      <c r="D70" s="198"/>
      <c r="E70" s="1069">
        <f t="shared" si="24"/>
        <v>0</v>
      </c>
      <c r="F70" s="198"/>
      <c r="G70" s="175">
        <v>10</v>
      </c>
      <c r="H70" s="198"/>
      <c r="I70" s="1069">
        <f t="shared" si="25"/>
        <v>0</v>
      </c>
      <c r="J70" s="198"/>
      <c r="K70" s="175">
        <v>12</v>
      </c>
      <c r="L70" s="198"/>
      <c r="M70" s="1069">
        <f t="shared" si="26"/>
        <v>0</v>
      </c>
      <c r="N70" s="204"/>
      <c r="Q70" s="1529" t="s">
        <v>1055</v>
      </c>
    </row>
    <row r="71" spans="1:17" s="620" customFormat="1">
      <c r="A71" s="779"/>
      <c r="B71" s="780" t="s">
        <v>29</v>
      </c>
      <c r="C71" s="175">
        <v>14169</v>
      </c>
      <c r="D71" s="198"/>
      <c r="E71" s="1069">
        <f t="shared" si="24"/>
        <v>7.4</v>
      </c>
      <c r="F71" s="198"/>
      <c r="G71" s="175">
        <v>11151</v>
      </c>
      <c r="H71" s="198"/>
      <c r="I71" s="1069">
        <f t="shared" si="25"/>
        <v>6.1</v>
      </c>
      <c r="J71" s="198"/>
      <c r="K71" s="175">
        <v>9125</v>
      </c>
      <c r="L71" s="198"/>
      <c r="M71" s="1069">
        <f t="shared" si="26"/>
        <v>5.2</v>
      </c>
      <c r="N71" s="204"/>
      <c r="Q71" s="1529" t="s">
        <v>1056</v>
      </c>
    </row>
    <row r="72" spans="1:17" s="620" customFormat="1" ht="13.8" thickBot="1">
      <c r="A72" s="782"/>
      <c r="B72" s="783" t="s">
        <v>30</v>
      </c>
      <c r="C72" s="205">
        <f>SUM(C66:C71)</f>
        <v>192663</v>
      </c>
      <c r="D72" s="206"/>
      <c r="E72" s="1070">
        <f t="shared" si="24"/>
        <v>100</v>
      </c>
      <c r="F72" s="206"/>
      <c r="G72" s="205">
        <f>SUM(G66:G71)</f>
        <v>181516</v>
      </c>
      <c r="H72" s="206"/>
      <c r="I72" s="1071">
        <f t="shared" si="25"/>
        <v>100</v>
      </c>
      <c r="J72" s="206"/>
      <c r="K72" s="205">
        <f>SUM(K66:K71)</f>
        <v>174321</v>
      </c>
      <c r="L72" s="206"/>
      <c r="M72" s="1071">
        <f t="shared" si="26"/>
        <v>100</v>
      </c>
      <c r="N72" s="207"/>
      <c r="Q72" s="160"/>
    </row>
    <row r="73" spans="1:17" s="620" customFormat="1">
      <c r="A73" s="777"/>
      <c r="B73" s="778" t="s">
        <v>31</v>
      </c>
      <c r="C73" s="200">
        <v>43919</v>
      </c>
      <c r="D73" s="198"/>
      <c r="E73" s="1072">
        <f t="shared" ref="E73:E79" si="27">IF(ISERR(C73/C$79),"－",ROUND(C73/C$79*100,1))</f>
        <v>20</v>
      </c>
      <c r="F73" s="202"/>
      <c r="G73" s="200">
        <v>40095</v>
      </c>
      <c r="H73" s="202"/>
      <c r="I73" s="1072">
        <f t="shared" ref="I73:I79" si="28">IF(ISERR(G73/G$79),"－",ROUND(G73/G$79*100,1))</f>
        <v>20.8</v>
      </c>
      <c r="J73" s="202"/>
      <c r="K73" s="200">
        <v>38467</v>
      </c>
      <c r="L73" s="202"/>
      <c r="M73" s="1072">
        <f t="shared" ref="M73:M79" si="29">IF(ISERR(K73/K$79),"－",ROUND(K73/K$79*100,1))</f>
        <v>19.5</v>
      </c>
      <c r="N73" s="204"/>
      <c r="Q73" s="1529" t="s">
        <v>1057</v>
      </c>
    </row>
    <row r="74" spans="1:17" s="620" customFormat="1">
      <c r="A74" s="804" t="s">
        <v>32</v>
      </c>
      <c r="B74" s="780" t="s">
        <v>33</v>
      </c>
      <c r="C74" s="175">
        <v>113225</v>
      </c>
      <c r="D74" s="198"/>
      <c r="E74" s="1072">
        <f t="shared" si="27"/>
        <v>51.5</v>
      </c>
      <c r="F74" s="198"/>
      <c r="G74" s="175">
        <v>98176</v>
      </c>
      <c r="H74" s="198"/>
      <c r="I74" s="1072">
        <f t="shared" si="28"/>
        <v>50.9</v>
      </c>
      <c r="J74" s="198"/>
      <c r="K74" s="175">
        <v>97541</v>
      </c>
      <c r="L74" s="198"/>
      <c r="M74" s="1072">
        <f t="shared" si="29"/>
        <v>49.4</v>
      </c>
      <c r="N74" s="204"/>
      <c r="Q74" s="1529" t="s">
        <v>1058</v>
      </c>
    </row>
    <row r="75" spans="1:17" s="620" customFormat="1">
      <c r="A75" s="805" t="s">
        <v>34</v>
      </c>
      <c r="B75" s="780" t="s">
        <v>35</v>
      </c>
      <c r="C75" s="175">
        <v>4262</v>
      </c>
      <c r="D75" s="198"/>
      <c r="E75" s="1072">
        <f t="shared" si="27"/>
        <v>1.9</v>
      </c>
      <c r="F75" s="198"/>
      <c r="G75" s="175">
        <v>4374</v>
      </c>
      <c r="H75" s="198"/>
      <c r="I75" s="1072">
        <f t="shared" si="28"/>
        <v>2.2999999999999998</v>
      </c>
      <c r="J75" s="198"/>
      <c r="K75" s="175">
        <v>4386</v>
      </c>
      <c r="L75" s="198"/>
      <c r="M75" s="1072">
        <f t="shared" si="29"/>
        <v>2.2000000000000002</v>
      </c>
      <c r="N75" s="204"/>
      <c r="Q75" s="1529" t="s">
        <v>1059</v>
      </c>
    </row>
    <row r="76" spans="1:17" s="620" customFormat="1">
      <c r="A76" s="805" t="s">
        <v>26</v>
      </c>
      <c r="B76" s="778" t="s">
        <v>36</v>
      </c>
      <c r="C76" s="175">
        <v>5414</v>
      </c>
      <c r="D76" s="198"/>
      <c r="E76" s="1072">
        <f t="shared" si="27"/>
        <v>2.5</v>
      </c>
      <c r="F76" s="198"/>
      <c r="G76" s="175">
        <v>5585</v>
      </c>
      <c r="H76" s="198"/>
      <c r="I76" s="1072">
        <f t="shared" si="28"/>
        <v>2.9</v>
      </c>
      <c r="J76" s="198"/>
      <c r="K76" s="175">
        <v>5768</v>
      </c>
      <c r="L76" s="198"/>
      <c r="M76" s="1072">
        <f t="shared" si="29"/>
        <v>2.9</v>
      </c>
      <c r="N76" s="204"/>
      <c r="Q76" s="1529" t="s">
        <v>1060</v>
      </c>
    </row>
    <row r="77" spans="1:17" s="620" customFormat="1">
      <c r="A77" s="804" t="s">
        <v>28</v>
      </c>
      <c r="B77" s="778" t="s">
        <v>258</v>
      </c>
      <c r="C77" s="175">
        <v>36564</v>
      </c>
      <c r="D77" s="198"/>
      <c r="E77" s="1072">
        <f t="shared" si="27"/>
        <v>16.600000000000001</v>
      </c>
      <c r="F77" s="198"/>
      <c r="G77" s="175">
        <v>29879</v>
      </c>
      <c r="H77" s="198"/>
      <c r="I77" s="1072">
        <f t="shared" si="28"/>
        <v>15.5</v>
      </c>
      <c r="J77" s="198"/>
      <c r="K77" s="175">
        <v>38784</v>
      </c>
      <c r="L77" s="198"/>
      <c r="M77" s="1072">
        <f t="shared" si="29"/>
        <v>19.600000000000001</v>
      </c>
      <c r="N77" s="204"/>
      <c r="Q77" s="1529" t="s">
        <v>1061</v>
      </c>
    </row>
    <row r="78" spans="1:17" s="620" customFormat="1">
      <c r="A78" s="804"/>
      <c r="B78" s="780" t="s">
        <v>29</v>
      </c>
      <c r="C78" s="175">
        <v>16566</v>
      </c>
      <c r="D78" s="198"/>
      <c r="E78" s="1069">
        <f t="shared" si="27"/>
        <v>7.5</v>
      </c>
      <c r="F78" s="198"/>
      <c r="G78" s="175">
        <v>14908</v>
      </c>
      <c r="H78" s="198"/>
      <c r="I78" s="1069">
        <f t="shared" si="28"/>
        <v>7.7</v>
      </c>
      <c r="J78" s="198"/>
      <c r="K78" s="175">
        <v>12503</v>
      </c>
      <c r="L78" s="198"/>
      <c r="M78" s="1069">
        <f t="shared" si="29"/>
        <v>6.3</v>
      </c>
      <c r="N78" s="204"/>
      <c r="Q78" s="1529" t="s">
        <v>1096</v>
      </c>
    </row>
    <row r="79" spans="1:17" s="620" customFormat="1" ht="13.8" thickBot="1">
      <c r="A79" s="782"/>
      <c r="B79" s="783" t="s">
        <v>30</v>
      </c>
      <c r="C79" s="205">
        <f>SUM(C73:C78)</f>
        <v>219950</v>
      </c>
      <c r="D79" s="206"/>
      <c r="E79" s="1070">
        <f t="shared" si="27"/>
        <v>100</v>
      </c>
      <c r="F79" s="206"/>
      <c r="G79" s="205">
        <f>SUM(G73:G78)</f>
        <v>193017</v>
      </c>
      <c r="H79" s="206"/>
      <c r="I79" s="1071">
        <f t="shared" si="28"/>
        <v>100</v>
      </c>
      <c r="J79" s="206"/>
      <c r="K79" s="205">
        <f>SUM(K73:K78)</f>
        <v>197449</v>
      </c>
      <c r="L79" s="206"/>
      <c r="M79" s="1071">
        <f t="shared" si="29"/>
        <v>100</v>
      </c>
      <c r="N79" s="207"/>
      <c r="Q79" s="160"/>
    </row>
    <row r="80" spans="1:17" s="620" customFormat="1">
      <c r="A80" s="784"/>
      <c r="B80" s="780" t="s">
        <v>37</v>
      </c>
      <c r="C80" s="200"/>
      <c r="D80" s="201"/>
      <c r="E80" s="1081">
        <f t="shared" ref="E80:E86" si="30">C66-C73</f>
        <v>7056</v>
      </c>
      <c r="F80" s="202"/>
      <c r="G80" s="200"/>
      <c r="H80" s="201"/>
      <c r="I80" s="1081">
        <f t="shared" ref="I80:I86" si="31">G66-G73</f>
        <v>3843</v>
      </c>
      <c r="J80" s="202"/>
      <c r="K80" s="200"/>
      <c r="L80" s="201"/>
      <c r="M80" s="201">
        <f t="shared" ref="M80:M86" si="32">K66-K73</f>
        <v>2199</v>
      </c>
      <c r="N80" s="208"/>
      <c r="Q80" s="160"/>
    </row>
    <row r="81" spans="1:28">
      <c r="A81" s="785"/>
      <c r="B81" s="778" t="s">
        <v>38</v>
      </c>
      <c r="C81" s="175"/>
      <c r="D81" s="1074"/>
      <c r="E81" s="201">
        <f t="shared" si="30"/>
        <v>8943</v>
      </c>
      <c r="F81" s="198"/>
      <c r="G81" s="175"/>
      <c r="H81" s="1074"/>
      <c r="I81" s="201">
        <f t="shared" si="31"/>
        <v>23374</v>
      </c>
      <c r="J81" s="198"/>
      <c r="K81" s="175"/>
      <c r="L81" s="1074"/>
      <c r="M81" s="1074">
        <f t="shared" si="32"/>
        <v>22370</v>
      </c>
      <c r="N81" s="204"/>
      <c r="O81" s="620"/>
      <c r="P81" s="620"/>
      <c r="R81" s="620"/>
      <c r="S81" s="620"/>
      <c r="T81" s="620"/>
      <c r="U81" s="620"/>
      <c r="V81" s="620"/>
      <c r="W81" s="620"/>
      <c r="X81" s="620"/>
      <c r="Y81" s="620"/>
      <c r="Z81" s="620"/>
      <c r="AA81" s="620"/>
      <c r="AB81" s="620"/>
    </row>
    <row r="82" spans="1:28">
      <c r="A82" s="785" t="s">
        <v>22</v>
      </c>
      <c r="B82" s="778" t="s">
        <v>39</v>
      </c>
      <c r="C82" s="175"/>
      <c r="D82" s="1074"/>
      <c r="E82" s="201">
        <f t="shared" si="30"/>
        <v>-1807</v>
      </c>
      <c r="F82" s="198"/>
      <c r="G82" s="175"/>
      <c r="H82" s="1074"/>
      <c r="I82" s="201">
        <f t="shared" si="31"/>
        <v>-2128</v>
      </c>
      <c r="J82" s="198"/>
      <c r="K82" s="175"/>
      <c r="L82" s="1074"/>
      <c r="M82" s="1074">
        <f t="shared" si="32"/>
        <v>-2207</v>
      </c>
      <c r="N82" s="204"/>
      <c r="O82" s="620"/>
      <c r="P82" s="620"/>
      <c r="R82" s="620"/>
      <c r="S82" s="620"/>
      <c r="T82" s="620"/>
      <c r="U82" s="620"/>
      <c r="V82" s="620"/>
      <c r="W82" s="620"/>
      <c r="X82" s="620"/>
      <c r="Y82" s="620"/>
      <c r="Z82" s="620"/>
      <c r="AA82" s="620"/>
      <c r="AB82" s="620"/>
    </row>
    <row r="83" spans="1:28">
      <c r="A83" s="785" t="s">
        <v>32</v>
      </c>
      <c r="B83" s="778" t="s">
        <v>40</v>
      </c>
      <c r="C83" s="175"/>
      <c r="D83" s="1074"/>
      <c r="E83" s="201">
        <f t="shared" si="30"/>
        <v>-2535</v>
      </c>
      <c r="F83" s="198"/>
      <c r="G83" s="175"/>
      <c r="H83" s="1074"/>
      <c r="I83" s="201">
        <f t="shared" si="31"/>
        <v>-2964</v>
      </c>
      <c r="J83" s="198"/>
      <c r="K83" s="175"/>
      <c r="L83" s="1074"/>
      <c r="M83" s="1074">
        <f t="shared" si="32"/>
        <v>-3340</v>
      </c>
      <c r="N83" s="204"/>
      <c r="O83" s="620"/>
      <c r="P83" s="620"/>
      <c r="R83" s="620"/>
      <c r="S83" s="620"/>
      <c r="T83" s="620"/>
      <c r="U83" s="620"/>
      <c r="V83" s="620"/>
      <c r="W83" s="620"/>
      <c r="X83" s="620"/>
      <c r="Y83" s="620"/>
      <c r="Z83" s="620"/>
      <c r="AA83" s="620"/>
      <c r="AB83" s="620"/>
    </row>
    <row r="84" spans="1:28">
      <c r="A84" s="785" t="s">
        <v>41</v>
      </c>
      <c r="B84" s="778" t="s">
        <v>259</v>
      </c>
      <c r="C84" s="175"/>
      <c r="D84" s="1074"/>
      <c r="E84" s="201">
        <f t="shared" si="30"/>
        <v>-36547</v>
      </c>
      <c r="F84" s="198"/>
      <c r="G84" s="175"/>
      <c r="H84" s="1074"/>
      <c r="I84" s="201">
        <f t="shared" si="31"/>
        <v>-29869</v>
      </c>
      <c r="J84" s="198"/>
      <c r="K84" s="175"/>
      <c r="L84" s="1074"/>
      <c r="M84" s="1074">
        <f t="shared" si="32"/>
        <v>-38772</v>
      </c>
      <c r="N84" s="204"/>
      <c r="O84" s="620"/>
      <c r="P84" s="620"/>
      <c r="R84" s="620"/>
      <c r="S84" s="620"/>
      <c r="T84" s="620"/>
      <c r="U84" s="620"/>
      <c r="V84" s="620"/>
      <c r="W84" s="620"/>
      <c r="X84" s="620"/>
      <c r="Y84" s="620"/>
      <c r="Z84" s="620"/>
      <c r="AA84" s="620"/>
      <c r="AB84" s="620"/>
    </row>
    <row r="85" spans="1:28">
      <c r="A85" s="777"/>
      <c r="B85" s="780" t="s">
        <v>42</v>
      </c>
      <c r="C85" s="175"/>
      <c r="D85" s="1074"/>
      <c r="E85" s="201">
        <f t="shared" si="30"/>
        <v>-2397</v>
      </c>
      <c r="F85" s="220"/>
      <c r="G85" s="175"/>
      <c r="H85" s="1074"/>
      <c r="I85" s="201">
        <f t="shared" si="31"/>
        <v>-3757</v>
      </c>
      <c r="J85" s="220"/>
      <c r="K85" s="175"/>
      <c r="L85" s="1074"/>
      <c r="M85" s="1074">
        <f t="shared" si="32"/>
        <v>-3378</v>
      </c>
      <c r="N85" s="192"/>
      <c r="O85" s="620"/>
      <c r="P85" s="620"/>
      <c r="R85" s="620"/>
      <c r="S85" s="620"/>
      <c r="T85" s="620"/>
      <c r="U85" s="620"/>
      <c r="V85" s="620"/>
      <c r="W85" s="620"/>
      <c r="X85" s="620"/>
      <c r="Y85" s="620"/>
      <c r="Z85" s="620"/>
      <c r="AA85" s="620"/>
      <c r="AB85" s="620"/>
    </row>
    <row r="86" spans="1:28" ht="13.8" thickBot="1">
      <c r="A86" s="786"/>
      <c r="B86" s="787" t="s">
        <v>43</v>
      </c>
      <c r="C86" s="205"/>
      <c r="D86" s="1083"/>
      <c r="E86" s="1076">
        <f t="shared" si="30"/>
        <v>-27287</v>
      </c>
      <c r="F86" s="206"/>
      <c r="G86" s="205"/>
      <c r="H86" s="1083"/>
      <c r="I86" s="1076">
        <f t="shared" si="31"/>
        <v>-11501</v>
      </c>
      <c r="J86" s="206"/>
      <c r="K86" s="205"/>
      <c r="L86" s="1083"/>
      <c r="M86" s="1083">
        <f t="shared" si="32"/>
        <v>-23128</v>
      </c>
      <c r="N86" s="207"/>
      <c r="O86" s="620"/>
      <c r="P86" s="620"/>
      <c r="R86" s="620"/>
      <c r="S86" s="620"/>
      <c r="T86" s="620"/>
      <c r="U86" s="620"/>
      <c r="V86" s="620"/>
      <c r="W86" s="620"/>
      <c r="X86" s="620"/>
      <c r="Y86" s="620"/>
      <c r="Z86" s="620"/>
      <c r="AA86" s="620"/>
      <c r="AB86" s="620"/>
    </row>
    <row r="87" spans="1:28">
      <c r="A87" s="789" t="s">
        <v>44</v>
      </c>
      <c r="B87" s="790"/>
      <c r="C87" s="175"/>
      <c r="D87" s="1074"/>
      <c r="E87" s="195">
        <f>C72+C79</f>
        <v>412613</v>
      </c>
      <c r="F87" s="198"/>
      <c r="G87" s="175"/>
      <c r="H87" s="1074"/>
      <c r="I87" s="195">
        <f>G72+G79</f>
        <v>374533</v>
      </c>
      <c r="J87" s="198"/>
      <c r="K87" s="175"/>
      <c r="L87" s="1074"/>
      <c r="M87" s="1074">
        <f>K72+K79</f>
        <v>371770</v>
      </c>
      <c r="N87" s="204"/>
      <c r="O87" s="620"/>
      <c r="P87" s="620"/>
      <c r="R87" s="620"/>
      <c r="S87" s="620"/>
      <c r="T87" s="620"/>
      <c r="U87" s="620"/>
      <c r="V87" s="620"/>
      <c r="W87" s="620"/>
      <c r="X87" s="620"/>
      <c r="Y87" s="620"/>
      <c r="Z87" s="620"/>
      <c r="AA87" s="620"/>
      <c r="AB87" s="620"/>
    </row>
    <row r="88" spans="1:28">
      <c r="A88" s="789" t="s">
        <v>45</v>
      </c>
      <c r="B88" s="790"/>
      <c r="C88" s="175"/>
      <c r="D88" s="1074"/>
      <c r="E88" s="1074">
        <v>914432</v>
      </c>
      <c r="F88" s="198"/>
      <c r="G88" s="175"/>
      <c r="H88" s="1074"/>
      <c r="I88" s="1074">
        <v>895564</v>
      </c>
      <c r="J88" s="198"/>
      <c r="K88" s="175"/>
      <c r="L88" s="1074"/>
      <c r="M88" s="1074">
        <v>879638</v>
      </c>
      <c r="N88" s="204"/>
      <c r="O88" s="620"/>
      <c r="P88" s="620"/>
      <c r="Q88" s="1529" t="s">
        <v>611</v>
      </c>
      <c r="R88" s="620"/>
      <c r="S88" s="620"/>
      <c r="T88" s="620"/>
      <c r="U88" s="620"/>
      <c r="V88" s="620"/>
      <c r="W88" s="620"/>
      <c r="X88" s="620"/>
      <c r="Y88" s="620"/>
      <c r="Z88" s="620"/>
      <c r="AA88" s="620"/>
      <c r="AB88" s="620"/>
    </row>
    <row r="89" spans="1:28">
      <c r="A89" s="791" t="s">
        <v>261</v>
      </c>
      <c r="B89" s="790"/>
      <c r="C89" s="223"/>
      <c r="D89" s="223"/>
      <c r="E89" s="1069">
        <f>IF(ISERROR(E87*100/E88),"－",ROUND(E87*100/E88,1))</f>
        <v>45.1</v>
      </c>
      <c r="F89" s="234"/>
      <c r="G89" s="235"/>
      <c r="H89" s="235"/>
      <c r="I89" s="1069">
        <f>IF(ISERROR(I87*100/I88),"－",ROUND(I87*100/I88,1))</f>
        <v>41.8</v>
      </c>
      <c r="J89" s="234"/>
      <c r="K89" s="235"/>
      <c r="L89" s="235"/>
      <c r="M89" s="1069">
        <f>IF(ISERROR(M87*100/M88),"－",ROUND(M87*100/M88,1))</f>
        <v>42.3</v>
      </c>
      <c r="N89" s="212"/>
      <c r="O89" s="620"/>
      <c r="P89" s="620"/>
      <c r="Q89" s="620"/>
      <c r="R89" s="620"/>
      <c r="S89" s="620"/>
      <c r="T89" s="620"/>
      <c r="U89" s="620"/>
      <c r="V89" s="620"/>
      <c r="W89" s="620"/>
      <c r="X89" s="620"/>
      <c r="Y89" s="620"/>
      <c r="Z89" s="620"/>
      <c r="AA89" s="620"/>
      <c r="AB89" s="620"/>
    </row>
    <row r="90" spans="1:28">
      <c r="A90" s="515"/>
      <c r="B90" s="515"/>
    </row>
    <row r="91" spans="1:28">
      <c r="A91" s="806" t="s">
        <v>262</v>
      </c>
      <c r="B91" s="807"/>
      <c r="C91" s="236"/>
      <c r="D91" s="237"/>
      <c r="E91" s="240">
        <f>IF(ISERROR((E58+E87)/(E59+E88)),"－",ROUND((E58+E87)/(E59+E88)*100,1))</f>
        <v>52.6</v>
      </c>
      <c r="F91" s="238"/>
      <c r="G91" s="239"/>
      <c r="H91" s="240"/>
      <c r="I91" s="240">
        <f>IF(ISERROR((I58+I87)/(I59+I88)),"－",ROUND((I58+I87)/(I59+I88)*100,1))</f>
        <v>49.1</v>
      </c>
      <c r="J91" s="238"/>
      <c r="K91" s="239"/>
      <c r="L91" s="240"/>
      <c r="M91" s="240">
        <f>IF(ISERROR((M58+M87)/(M59+M88)),"－",ROUND((M58+M87)/(M59+M88)*100,1))</f>
        <v>48.2</v>
      </c>
      <c r="N91" s="215"/>
      <c r="O91" s="620"/>
      <c r="P91" s="620"/>
      <c r="R91" s="620"/>
      <c r="S91" s="620"/>
      <c r="T91" s="620"/>
      <c r="U91" s="620"/>
      <c r="V91" s="620"/>
      <c r="W91" s="620"/>
      <c r="X91" s="620"/>
      <c r="Y91" s="620"/>
      <c r="Z91" s="620"/>
      <c r="AA91" s="620"/>
      <c r="AB91" s="620"/>
    </row>
    <row r="93" spans="1:28">
      <c r="A93" s="621" t="s">
        <v>263</v>
      </c>
      <c r="B93" s="618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162"/>
      <c r="O93" s="620"/>
      <c r="P93" s="620"/>
      <c r="R93" s="620"/>
      <c r="S93" s="620"/>
      <c r="T93" s="620"/>
      <c r="U93" s="620"/>
      <c r="V93" s="620"/>
      <c r="W93" s="620"/>
      <c r="X93" s="620"/>
      <c r="Y93" s="620"/>
      <c r="Z93" s="620"/>
      <c r="AA93" s="620"/>
      <c r="AB93" s="620"/>
    </row>
    <row r="94" spans="1:28">
      <c r="B94" s="638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164" t="s">
        <v>254</v>
      </c>
      <c r="O94" s="620"/>
      <c r="P94" s="620"/>
      <c r="R94" s="620"/>
      <c r="S94" s="620"/>
      <c r="T94" s="620"/>
      <c r="U94" s="620"/>
      <c r="V94" s="620"/>
      <c r="W94" s="620"/>
      <c r="X94" s="620"/>
      <c r="Y94" s="620"/>
      <c r="Z94" s="620"/>
      <c r="AA94" s="620"/>
      <c r="AB94" s="620"/>
    </row>
    <row r="95" spans="1:28">
      <c r="A95" s="773" t="s">
        <v>20</v>
      </c>
      <c r="B95" s="803"/>
      <c r="C95" s="792" t="str">
        <f>C5</f>
        <v>令和元年度</v>
      </c>
      <c r="D95" s="793"/>
      <c r="E95" s="794"/>
      <c r="F95" s="794"/>
      <c r="G95" s="792" t="str">
        <f>G5</f>
        <v>令和2年度</v>
      </c>
      <c r="H95" s="793"/>
      <c r="I95" s="794"/>
      <c r="J95" s="794"/>
      <c r="K95" s="792" t="str">
        <f>K5</f>
        <v>令和3年度</v>
      </c>
      <c r="L95" s="793"/>
      <c r="M95" s="794"/>
      <c r="N95" s="165"/>
      <c r="O95" s="620"/>
      <c r="P95" s="620"/>
      <c r="Q95" s="1529" t="s">
        <v>1051</v>
      </c>
      <c r="R95" s="620"/>
      <c r="S95" s="620"/>
      <c r="T95" s="620"/>
      <c r="U95" s="620"/>
      <c r="V95" s="620"/>
      <c r="W95" s="620"/>
      <c r="X95" s="620"/>
      <c r="Y95" s="620"/>
      <c r="Z95" s="620"/>
      <c r="AA95" s="620"/>
      <c r="AB95" s="620"/>
    </row>
    <row r="96" spans="1:28">
      <c r="A96" s="775"/>
      <c r="B96" s="776"/>
      <c r="C96" s="795"/>
      <c r="D96" s="796"/>
      <c r="E96" s="797" t="s">
        <v>255</v>
      </c>
      <c r="F96" s="798"/>
      <c r="G96" s="795"/>
      <c r="H96" s="796"/>
      <c r="I96" s="797" t="s">
        <v>255</v>
      </c>
      <c r="J96" s="798"/>
      <c r="K96" s="795"/>
      <c r="L96" s="796"/>
      <c r="M96" s="797" t="s">
        <v>255</v>
      </c>
      <c r="N96" s="168"/>
      <c r="O96" s="620"/>
      <c r="P96" s="620"/>
      <c r="Q96" s="1529" t="s">
        <v>1052</v>
      </c>
      <c r="R96" s="620"/>
      <c r="S96" s="620"/>
      <c r="T96" s="620"/>
      <c r="U96" s="620"/>
      <c r="V96" s="620"/>
      <c r="W96" s="620"/>
      <c r="X96" s="620"/>
      <c r="Y96" s="620"/>
      <c r="Z96" s="620"/>
      <c r="AA96" s="620"/>
      <c r="AB96" s="620"/>
    </row>
    <row r="97" spans="1:17" s="620" customFormat="1">
      <c r="A97" s="808"/>
      <c r="B97" s="780" t="s">
        <v>23</v>
      </c>
      <c r="C97" s="175">
        <v>32635</v>
      </c>
      <c r="D97" s="170"/>
      <c r="E97" s="1069">
        <f t="shared" ref="E97:E102" si="33">IF(ISERR(C97/C$102),"－",ROUND(C97/C$102*100,1))</f>
        <v>23.2</v>
      </c>
      <c r="F97" s="171"/>
      <c r="G97" s="175">
        <v>31717</v>
      </c>
      <c r="H97" s="170"/>
      <c r="I97" s="1069">
        <f t="shared" ref="I97:I102" si="34">IF(ISERR(G97/G$102),"－",ROUND(G97/G$102*100,1))</f>
        <v>24.4</v>
      </c>
      <c r="J97" s="171"/>
      <c r="K97" s="175">
        <v>33120</v>
      </c>
      <c r="L97" s="170"/>
      <c r="M97" s="1069">
        <f t="shared" ref="M97:M102" si="35">IF(ISERR(K97/K$102),"－",ROUND(K97/K$102*100,1))</f>
        <v>25.3</v>
      </c>
      <c r="N97" s="172"/>
      <c r="Q97" s="1529" t="s">
        <v>1053</v>
      </c>
    </row>
    <row r="98" spans="1:17" s="620" customFormat="1">
      <c r="A98" s="781" t="s">
        <v>22</v>
      </c>
      <c r="B98" s="780" t="s">
        <v>25</v>
      </c>
      <c r="C98" s="200">
        <v>96</v>
      </c>
      <c r="D98" s="170"/>
      <c r="E98" s="1069">
        <f t="shared" si="33"/>
        <v>0.1</v>
      </c>
      <c r="F98" s="171"/>
      <c r="G98" s="200">
        <v>84</v>
      </c>
      <c r="H98" s="170"/>
      <c r="I98" s="1069">
        <f t="shared" si="34"/>
        <v>0.1</v>
      </c>
      <c r="J98" s="171"/>
      <c r="K98" s="200">
        <v>79</v>
      </c>
      <c r="L98" s="170"/>
      <c r="M98" s="1069">
        <f t="shared" si="35"/>
        <v>0.1</v>
      </c>
      <c r="N98" s="172"/>
      <c r="Q98" s="1529" t="s">
        <v>1054</v>
      </c>
    </row>
    <row r="99" spans="1:17" s="620" customFormat="1">
      <c r="A99" s="781" t="s">
        <v>24</v>
      </c>
      <c r="B99" s="778" t="s">
        <v>27</v>
      </c>
      <c r="C99" s="175">
        <v>12039</v>
      </c>
      <c r="D99" s="170"/>
      <c r="E99" s="1069">
        <f t="shared" si="33"/>
        <v>8.6</v>
      </c>
      <c r="F99" s="171"/>
      <c r="G99" s="175">
        <v>11582</v>
      </c>
      <c r="H99" s="170"/>
      <c r="I99" s="1069">
        <f t="shared" si="34"/>
        <v>8.9</v>
      </c>
      <c r="J99" s="171"/>
      <c r="K99" s="175">
        <v>11679</v>
      </c>
      <c r="L99" s="170"/>
      <c r="M99" s="1069">
        <f t="shared" si="35"/>
        <v>8.9</v>
      </c>
      <c r="N99" s="172"/>
      <c r="Q99" s="1529" t="s">
        <v>1055</v>
      </c>
    </row>
    <row r="100" spans="1:17" s="620" customFormat="1">
      <c r="A100" s="781" t="s">
        <v>26</v>
      </c>
      <c r="B100" s="778" t="s">
        <v>257</v>
      </c>
      <c r="C100" s="175">
        <v>217</v>
      </c>
      <c r="D100" s="170"/>
      <c r="E100" s="1069">
        <f t="shared" si="33"/>
        <v>0.2</v>
      </c>
      <c r="F100" s="171"/>
      <c r="G100" s="175">
        <v>284</v>
      </c>
      <c r="H100" s="170"/>
      <c r="I100" s="1069">
        <f t="shared" si="34"/>
        <v>0.2</v>
      </c>
      <c r="J100" s="171"/>
      <c r="K100" s="175">
        <v>3</v>
      </c>
      <c r="L100" s="170"/>
      <c r="M100" s="1069">
        <f t="shared" si="35"/>
        <v>0</v>
      </c>
      <c r="N100" s="172"/>
      <c r="Q100" s="1529" t="s">
        <v>1056</v>
      </c>
    </row>
    <row r="101" spans="1:17" s="620" customFormat="1">
      <c r="A101" s="779" t="s">
        <v>28</v>
      </c>
      <c r="B101" s="780" t="s">
        <v>29</v>
      </c>
      <c r="C101" s="175">
        <v>95386</v>
      </c>
      <c r="D101" s="170"/>
      <c r="E101" s="1069">
        <f t="shared" si="33"/>
        <v>68</v>
      </c>
      <c r="F101" s="171"/>
      <c r="G101" s="175">
        <v>86279</v>
      </c>
      <c r="H101" s="170"/>
      <c r="I101" s="1069">
        <f t="shared" si="34"/>
        <v>66.400000000000006</v>
      </c>
      <c r="J101" s="171"/>
      <c r="K101" s="175">
        <v>85778</v>
      </c>
      <c r="L101" s="170"/>
      <c r="M101" s="1069">
        <f t="shared" si="35"/>
        <v>65.7</v>
      </c>
      <c r="N101" s="172"/>
      <c r="Q101" s="160"/>
    </row>
    <row r="102" spans="1:17" s="620" customFormat="1" ht="13.8" thickBot="1">
      <c r="A102" s="782"/>
      <c r="B102" s="787" t="s">
        <v>30</v>
      </c>
      <c r="C102" s="176">
        <f>SUM(C97:C101)</f>
        <v>140373</v>
      </c>
      <c r="D102" s="177"/>
      <c r="E102" s="1070">
        <f t="shared" si="33"/>
        <v>100</v>
      </c>
      <c r="F102" s="178"/>
      <c r="G102" s="176">
        <f>SUM(G97:G101)</f>
        <v>129946</v>
      </c>
      <c r="H102" s="177"/>
      <c r="I102" s="1071">
        <f t="shared" si="34"/>
        <v>100</v>
      </c>
      <c r="J102" s="178"/>
      <c r="K102" s="176">
        <f>SUM(K97:K101)</f>
        <v>130659</v>
      </c>
      <c r="L102" s="177"/>
      <c r="M102" s="1071">
        <f t="shared" si="35"/>
        <v>100</v>
      </c>
      <c r="N102" s="179"/>
      <c r="Q102" s="1529" t="s">
        <v>1057</v>
      </c>
    </row>
    <row r="103" spans="1:17" s="620" customFormat="1">
      <c r="A103" s="784"/>
      <c r="B103" s="780" t="s">
        <v>33</v>
      </c>
      <c r="C103" s="175">
        <v>39238</v>
      </c>
      <c r="D103" s="170"/>
      <c r="E103" s="1072">
        <f t="shared" ref="E103:E108" si="36">IF(ISERR(C103/C$108),"－",ROUND(C103/C$108*100,1))</f>
        <v>27.4</v>
      </c>
      <c r="F103" s="180"/>
      <c r="G103" s="200">
        <v>36645</v>
      </c>
      <c r="H103" s="182"/>
      <c r="I103" s="1072">
        <f t="shared" ref="I103:I108" si="37">IF(ISERR(G103/G$108),"－",ROUND(G103/G$108*100,1))</f>
        <v>27.1</v>
      </c>
      <c r="J103" s="180"/>
      <c r="K103" s="200">
        <v>37751</v>
      </c>
      <c r="L103" s="182"/>
      <c r="M103" s="1072">
        <f t="shared" ref="M103:M108" si="38">IF(ISERR(K103/K$108),"－",ROUND(K103/K$108*100,1))</f>
        <v>26.9</v>
      </c>
      <c r="N103" s="172"/>
      <c r="Q103" s="1529" t="s">
        <v>1058</v>
      </c>
    </row>
    <row r="104" spans="1:17" s="620" customFormat="1">
      <c r="A104" s="785" t="s">
        <v>32</v>
      </c>
      <c r="B104" s="780" t="s">
        <v>35</v>
      </c>
      <c r="C104" s="175">
        <v>145</v>
      </c>
      <c r="D104" s="170"/>
      <c r="E104" s="1069">
        <f t="shared" si="36"/>
        <v>0.1</v>
      </c>
      <c r="F104" s="171"/>
      <c r="G104" s="175">
        <v>177</v>
      </c>
      <c r="H104" s="170"/>
      <c r="I104" s="1069">
        <f t="shared" si="37"/>
        <v>0.1</v>
      </c>
      <c r="J104" s="171"/>
      <c r="K104" s="175">
        <v>151</v>
      </c>
      <c r="L104" s="170"/>
      <c r="M104" s="1069">
        <f t="shared" si="38"/>
        <v>0.1</v>
      </c>
      <c r="N104" s="172"/>
      <c r="Q104" s="1529" t="s">
        <v>1059</v>
      </c>
    </row>
    <row r="105" spans="1:17" s="620" customFormat="1">
      <c r="A105" s="785" t="s">
        <v>34</v>
      </c>
      <c r="B105" s="778" t="s">
        <v>36</v>
      </c>
      <c r="C105" s="175">
        <v>2649</v>
      </c>
      <c r="D105" s="170"/>
      <c r="E105" s="1069">
        <f t="shared" si="36"/>
        <v>1.9</v>
      </c>
      <c r="F105" s="171"/>
      <c r="G105" s="175">
        <v>2567</v>
      </c>
      <c r="H105" s="170"/>
      <c r="I105" s="1069">
        <f t="shared" si="37"/>
        <v>1.9</v>
      </c>
      <c r="J105" s="171"/>
      <c r="K105" s="175">
        <v>2547</v>
      </c>
      <c r="L105" s="170"/>
      <c r="M105" s="1069">
        <f t="shared" si="38"/>
        <v>1.8</v>
      </c>
      <c r="N105" s="172"/>
      <c r="Q105" s="1529" t="s">
        <v>1060</v>
      </c>
    </row>
    <row r="106" spans="1:17" s="620" customFormat="1">
      <c r="A106" s="785" t="s">
        <v>26</v>
      </c>
      <c r="B106" s="778" t="s">
        <v>258</v>
      </c>
      <c r="C106" s="175">
        <v>8448</v>
      </c>
      <c r="D106" s="170"/>
      <c r="E106" s="1069">
        <f t="shared" si="36"/>
        <v>5.9</v>
      </c>
      <c r="F106" s="171"/>
      <c r="G106" s="175">
        <v>6302</v>
      </c>
      <c r="H106" s="170"/>
      <c r="I106" s="1069">
        <f t="shared" si="37"/>
        <v>4.7</v>
      </c>
      <c r="J106" s="171"/>
      <c r="K106" s="175">
        <v>9658</v>
      </c>
      <c r="L106" s="170"/>
      <c r="M106" s="1069">
        <f t="shared" si="38"/>
        <v>6.9</v>
      </c>
      <c r="N106" s="172"/>
      <c r="Q106" s="1529" t="s">
        <v>1061</v>
      </c>
    </row>
    <row r="107" spans="1:17" s="620" customFormat="1">
      <c r="A107" s="801" t="s">
        <v>28</v>
      </c>
      <c r="B107" s="780" t="s">
        <v>29</v>
      </c>
      <c r="C107" s="175">
        <v>92480</v>
      </c>
      <c r="D107" s="170"/>
      <c r="E107" s="1069">
        <f t="shared" si="36"/>
        <v>64.7</v>
      </c>
      <c r="F107" s="171"/>
      <c r="G107" s="175">
        <v>89754</v>
      </c>
      <c r="H107" s="170"/>
      <c r="I107" s="1069">
        <f t="shared" si="37"/>
        <v>66.3</v>
      </c>
      <c r="J107" s="171"/>
      <c r="K107" s="175">
        <v>90034</v>
      </c>
      <c r="L107" s="170"/>
      <c r="M107" s="1069">
        <f t="shared" si="38"/>
        <v>64.2</v>
      </c>
      <c r="N107" s="172"/>
      <c r="Q107" s="1529" t="s">
        <v>1096</v>
      </c>
    </row>
    <row r="108" spans="1:17" s="620" customFormat="1" ht="13.8" thickBot="1">
      <c r="A108" s="782"/>
      <c r="B108" s="787" t="s">
        <v>30</v>
      </c>
      <c r="C108" s="176">
        <f>SUM(C103:C107)</f>
        <v>142960</v>
      </c>
      <c r="D108" s="177"/>
      <c r="E108" s="1070">
        <f t="shared" si="36"/>
        <v>100</v>
      </c>
      <c r="F108" s="178"/>
      <c r="G108" s="176">
        <f>SUM(G103:G107)</f>
        <v>135445</v>
      </c>
      <c r="H108" s="177"/>
      <c r="I108" s="1071">
        <f t="shared" si="37"/>
        <v>100</v>
      </c>
      <c r="J108" s="178"/>
      <c r="K108" s="176">
        <f>SUM(K103:K107)</f>
        <v>140141</v>
      </c>
      <c r="L108" s="177"/>
      <c r="M108" s="1071">
        <f t="shared" si="38"/>
        <v>100</v>
      </c>
      <c r="N108" s="179"/>
    </row>
    <row r="109" spans="1:17" s="620" customFormat="1">
      <c r="A109" s="777"/>
      <c r="B109" s="778" t="s">
        <v>38</v>
      </c>
      <c r="C109" s="169"/>
      <c r="D109" s="1078"/>
      <c r="E109" s="201">
        <f t="shared" ref="E109:E114" si="39">C97-C103</f>
        <v>-6603</v>
      </c>
      <c r="F109" s="1051"/>
      <c r="G109" s="181"/>
      <c r="H109" s="1051"/>
      <c r="I109" s="201">
        <f t="shared" ref="I109:I114" si="40">G97-G103</f>
        <v>-4928</v>
      </c>
      <c r="J109" s="1051"/>
      <c r="K109" s="181"/>
      <c r="L109" s="1051"/>
      <c r="M109" s="201">
        <f t="shared" ref="M109:M114" si="41">K97-K103</f>
        <v>-4631</v>
      </c>
      <c r="N109" s="204"/>
    </row>
    <row r="110" spans="1:17" s="620" customFormat="1">
      <c r="A110" s="781" t="s">
        <v>22</v>
      </c>
      <c r="B110" s="778" t="s">
        <v>39</v>
      </c>
      <c r="C110" s="169"/>
      <c r="D110" s="1078"/>
      <c r="E110" s="1074">
        <f t="shared" si="39"/>
        <v>-49</v>
      </c>
      <c r="F110" s="1078"/>
      <c r="G110" s="169"/>
      <c r="H110" s="1078"/>
      <c r="I110" s="1074">
        <f t="shared" si="40"/>
        <v>-93</v>
      </c>
      <c r="J110" s="1078"/>
      <c r="K110" s="169"/>
      <c r="L110" s="1078"/>
      <c r="M110" s="1074">
        <f t="shared" si="41"/>
        <v>-72</v>
      </c>
      <c r="N110" s="204"/>
    </row>
    <row r="111" spans="1:17" s="620" customFormat="1">
      <c r="A111" s="781" t="s">
        <v>32</v>
      </c>
      <c r="B111" s="778" t="s">
        <v>40</v>
      </c>
      <c r="C111" s="169"/>
      <c r="D111" s="1078"/>
      <c r="E111" s="1074">
        <f t="shared" si="39"/>
        <v>9390</v>
      </c>
      <c r="F111" s="1078"/>
      <c r="G111" s="169"/>
      <c r="H111" s="1078"/>
      <c r="I111" s="1074">
        <f t="shared" si="40"/>
        <v>9015</v>
      </c>
      <c r="J111" s="1078"/>
      <c r="K111" s="169"/>
      <c r="L111" s="1078"/>
      <c r="M111" s="1074">
        <f t="shared" si="41"/>
        <v>9132</v>
      </c>
      <c r="N111" s="204"/>
    </row>
    <row r="112" spans="1:17" s="620" customFormat="1">
      <c r="A112" s="785" t="s">
        <v>41</v>
      </c>
      <c r="B112" s="778" t="s">
        <v>259</v>
      </c>
      <c r="C112" s="169"/>
      <c r="D112" s="1078"/>
      <c r="E112" s="1074">
        <f t="shared" si="39"/>
        <v>-8231</v>
      </c>
      <c r="F112" s="1078"/>
      <c r="G112" s="169"/>
      <c r="H112" s="1078"/>
      <c r="I112" s="1074">
        <f t="shared" si="40"/>
        <v>-6018</v>
      </c>
      <c r="J112" s="1078"/>
      <c r="K112" s="169"/>
      <c r="L112" s="1078"/>
      <c r="M112" s="1074">
        <f t="shared" si="41"/>
        <v>-9655</v>
      </c>
      <c r="N112" s="204"/>
    </row>
    <row r="113" spans="1:17" s="620" customFormat="1">
      <c r="A113" s="785"/>
      <c r="B113" s="780" t="s">
        <v>42</v>
      </c>
      <c r="C113" s="169"/>
      <c r="D113" s="1078"/>
      <c r="E113" s="1074">
        <f t="shared" si="39"/>
        <v>2906</v>
      </c>
      <c r="F113" s="1078"/>
      <c r="G113" s="169"/>
      <c r="H113" s="1078"/>
      <c r="I113" s="1074">
        <f t="shared" si="40"/>
        <v>-3475</v>
      </c>
      <c r="J113" s="1078"/>
      <c r="K113" s="169"/>
      <c r="L113" s="1078"/>
      <c r="M113" s="1074">
        <f t="shared" si="41"/>
        <v>-4256</v>
      </c>
      <c r="N113" s="204"/>
    </row>
    <row r="114" spans="1:17" s="620" customFormat="1" ht="13.8" thickBot="1">
      <c r="A114" s="786"/>
      <c r="B114" s="787" t="s">
        <v>43</v>
      </c>
      <c r="C114" s="176"/>
      <c r="D114" s="1084"/>
      <c r="E114" s="1084">
        <f t="shared" si="39"/>
        <v>-2587</v>
      </c>
      <c r="F114" s="1084"/>
      <c r="G114" s="176"/>
      <c r="H114" s="1084"/>
      <c r="I114" s="1084">
        <f t="shared" si="40"/>
        <v>-5499</v>
      </c>
      <c r="J114" s="1084"/>
      <c r="K114" s="176"/>
      <c r="L114" s="1084"/>
      <c r="M114" s="1084">
        <f t="shared" si="41"/>
        <v>-9482</v>
      </c>
      <c r="N114" s="207"/>
    </row>
    <row r="115" spans="1:17" s="620" customFormat="1">
      <c r="A115" s="789" t="s">
        <v>44</v>
      </c>
      <c r="B115" s="790"/>
      <c r="C115" s="169"/>
      <c r="D115" s="1078"/>
      <c r="E115" s="1078">
        <f>C102+C108</f>
        <v>283333</v>
      </c>
      <c r="F115" s="1078"/>
      <c r="G115" s="169"/>
      <c r="H115" s="1078"/>
      <c r="I115" s="1078">
        <f>G102+G108</f>
        <v>265391</v>
      </c>
      <c r="J115" s="1078"/>
      <c r="K115" s="169"/>
      <c r="L115" s="1078"/>
      <c r="M115" s="1078">
        <f>K102+K108</f>
        <v>270800</v>
      </c>
      <c r="N115" s="204"/>
    </row>
    <row r="116" spans="1:17" s="620" customFormat="1">
      <c r="A116" s="789" t="s">
        <v>45</v>
      </c>
      <c r="B116" s="790"/>
      <c r="C116" s="169"/>
      <c r="D116" s="1078"/>
      <c r="E116" s="1074">
        <v>1249564</v>
      </c>
      <c r="F116" s="1078"/>
      <c r="G116" s="169"/>
      <c r="H116" s="1078"/>
      <c r="I116" s="1074">
        <v>1244575</v>
      </c>
      <c r="J116" s="1078"/>
      <c r="K116" s="169"/>
      <c r="L116" s="1078"/>
      <c r="M116" s="1074">
        <v>1239305</v>
      </c>
      <c r="N116" s="204"/>
      <c r="Q116" s="1529" t="s">
        <v>611</v>
      </c>
    </row>
    <row r="117" spans="1:17" s="620" customFormat="1">
      <c r="A117" s="791" t="s">
        <v>260</v>
      </c>
      <c r="B117" s="790"/>
      <c r="C117" s="169"/>
      <c r="D117" s="1078"/>
      <c r="E117" s="1069">
        <f>IF(ISERROR(E115*100/E116),"－",ROUND(E115*100/E116,1))</f>
        <v>22.7</v>
      </c>
      <c r="F117" s="1079"/>
      <c r="G117" s="169"/>
      <c r="H117" s="1078"/>
      <c r="I117" s="1069">
        <f>IF(ISERROR(I115*100/I116),"－",ROUND(I115*100/I116,1))</f>
        <v>21.3</v>
      </c>
      <c r="J117" s="1079"/>
      <c r="K117" s="169"/>
      <c r="L117" s="1078"/>
      <c r="M117" s="1069">
        <f>IF(ISERROR(M115*100/M116),"－",ROUND(M115*100/M116,1))</f>
        <v>21.9</v>
      </c>
      <c r="N117" s="172"/>
    </row>
  </sheetData>
  <phoneticPr fontId="27"/>
  <printOptions gridLinesSet="0"/>
  <pageMargins left="0.98425196850393704" right="0.98425196850393704" top="0.78740157480314965" bottom="0.59055118110236227" header="0" footer="0.39370078740157483"/>
  <pageSetup paperSize="9" scale="97" fitToHeight="0" pageOrder="overThenDown" orientation="portrait" r:id="rId1"/>
  <headerFooter alignWithMargins="0"/>
  <rowBreaks count="1" manualBreakCount="1">
    <brk id="60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M99"/>
  <sheetViews>
    <sheetView showGridLines="0" view="pageBreakPreview" zoomScaleNormal="100" zoomScaleSheetLayoutView="100" zoomScalePageLayoutView="130" workbookViewId="0"/>
  </sheetViews>
  <sheetFormatPr defaultColWidth="9.88671875" defaultRowHeight="12"/>
  <cols>
    <col min="1" max="1" width="1.6640625" style="28" customWidth="1" collapsed="1"/>
    <col min="2" max="2" width="3.77734375" style="26" customWidth="1" collapsed="1"/>
    <col min="3" max="3" width="29.109375" style="26" customWidth="1" collapsed="1"/>
    <col min="4" max="4" width="20.21875" style="27" customWidth="1" collapsed="1"/>
    <col min="5" max="5" width="12.109375" style="27" customWidth="1" collapsed="1"/>
    <col min="6" max="6" width="20.44140625" style="28" customWidth="1" collapsed="1"/>
    <col min="7" max="8" width="12.109375" style="28" customWidth="1" collapsed="1"/>
    <col min="9" max="9" width="8.109375" style="28" customWidth="1" collapsed="1"/>
    <col min="10" max="11" width="8.109375" style="28" hidden="1" customWidth="1" collapsed="1"/>
    <col min="12" max="12" width="4.21875" style="28" customWidth="1" collapsed="1"/>
    <col min="13" max="13" width="7.6640625" style="28" customWidth="1" collapsed="1"/>
    <col min="14" max="236" width="9.88671875" style="28" customWidth="1" collapsed="1"/>
    <col min="237" max="237" width="1.6640625" style="28" customWidth="1" collapsed="1"/>
    <col min="238" max="238" width="1.88671875" style="28" customWidth="1" collapsed="1"/>
    <col min="239" max="239" width="16.88671875" style="28" customWidth="1" collapsed="1"/>
    <col min="240" max="248" width="7.88671875" style="28" customWidth="1" collapsed="1"/>
    <col min="249" max="249" width="4.21875" style="28" customWidth="1" collapsed="1"/>
    <col min="250" max="250" width="7.6640625" style="28" customWidth="1" collapsed="1"/>
    <col min="251" max="252" width="9.88671875" style="28" customWidth="1" collapsed="1"/>
    <col min="253" max="253" width="15.6640625" style="28" customWidth="1" collapsed="1"/>
    <col min="254" max="16384" width="9.88671875" style="28" collapsed="1"/>
  </cols>
  <sheetData>
    <row r="1" spans="1:13" ht="20.399999999999999" customHeight="1">
      <c r="A1" s="36" t="s">
        <v>435</v>
      </c>
      <c r="B1" s="34"/>
    </row>
    <row r="2" spans="1:13" ht="11.25" customHeight="1">
      <c r="A2" s="36"/>
      <c r="B2" s="34"/>
    </row>
    <row r="3" spans="1:13" s="32" customFormat="1" ht="15.75" customHeight="1">
      <c r="A3" s="38" t="s">
        <v>104</v>
      </c>
      <c r="B3" s="38"/>
      <c r="C3" s="651"/>
      <c r="D3" s="639"/>
      <c r="E3" s="639"/>
      <c r="F3" s="640"/>
      <c r="G3" s="641"/>
      <c r="H3" s="641"/>
      <c r="I3" s="641"/>
      <c r="J3" s="641"/>
      <c r="K3" s="30"/>
      <c r="L3" s="642"/>
      <c r="M3" s="642"/>
    </row>
    <row r="4" spans="1:13" s="32" customFormat="1" ht="12.9" customHeight="1">
      <c r="A4" s="37"/>
      <c r="B4" s="646" t="str">
        <f>DBCS(情報!$D$2&amp;"の決算状況は表４、図２、図３のとおりである。")</f>
        <v>令和３年度の決算状況は表４、図２、図３のとおりである。</v>
      </c>
      <c r="C4" s="643"/>
      <c r="D4" s="639"/>
      <c r="E4" s="639"/>
      <c r="F4" s="640"/>
      <c r="G4" s="641"/>
      <c r="H4" s="641"/>
      <c r="I4" s="641"/>
      <c r="J4" s="641"/>
      <c r="K4" s="30"/>
      <c r="L4" s="642"/>
      <c r="M4" s="642"/>
    </row>
    <row r="5" spans="1:13" s="32" customFormat="1" ht="12.9" customHeight="1">
      <c r="A5" s="30"/>
      <c r="B5" s="643"/>
      <c r="C5" s="643"/>
      <c r="D5" s="639"/>
      <c r="E5" s="639"/>
      <c r="F5" s="640"/>
      <c r="G5" s="641"/>
      <c r="H5" s="641"/>
      <c r="I5" s="641"/>
      <c r="J5" s="641"/>
      <c r="K5" s="30"/>
      <c r="L5" s="642"/>
      <c r="M5" s="642"/>
    </row>
    <row r="6" spans="1:13" s="32" customFormat="1" ht="15.75" customHeight="1">
      <c r="A6" s="30"/>
      <c r="B6" s="35" t="s">
        <v>540</v>
      </c>
      <c r="C6" s="30"/>
      <c r="D6" s="639"/>
      <c r="E6" s="639"/>
      <c r="F6" s="640"/>
      <c r="G6" s="641"/>
      <c r="H6" s="641"/>
      <c r="I6" s="641"/>
      <c r="J6" s="641"/>
      <c r="K6" s="30"/>
      <c r="L6" s="642"/>
      <c r="M6" s="642"/>
    </row>
    <row r="7" spans="1:13" s="32" customFormat="1" ht="18" customHeight="1">
      <c r="A7" s="30"/>
      <c r="B7" s="1815" t="s">
        <v>49</v>
      </c>
      <c r="C7" s="1815"/>
      <c r="D7" s="1815" t="str">
        <f>情報!$D$3</f>
        <v>令和2年度</v>
      </c>
      <c r="E7" s="1815"/>
      <c r="F7" s="1815" t="str">
        <f>情報!$D$2</f>
        <v>令和3年度</v>
      </c>
      <c r="G7" s="1815"/>
      <c r="H7" s="1815"/>
      <c r="I7" s="28"/>
      <c r="J7" s="28"/>
      <c r="K7" s="30"/>
      <c r="L7" s="31"/>
      <c r="M7" s="31"/>
    </row>
    <row r="8" spans="1:13" s="32" customFormat="1" ht="35.4" customHeight="1">
      <c r="A8" s="30"/>
      <c r="B8" s="1815" t="s">
        <v>50</v>
      </c>
      <c r="C8" s="1815"/>
      <c r="D8" s="1656" t="s">
        <v>51</v>
      </c>
      <c r="E8" s="1657" t="s">
        <v>52</v>
      </c>
      <c r="F8" s="1656" t="s">
        <v>51</v>
      </c>
      <c r="G8" s="1657" t="s">
        <v>52</v>
      </c>
      <c r="H8" s="1657" t="s">
        <v>434</v>
      </c>
      <c r="I8" s="28"/>
      <c r="J8" s="28"/>
      <c r="K8" s="30"/>
      <c r="L8" s="31"/>
      <c r="M8" s="31"/>
    </row>
    <row r="9" spans="1:13" s="32" customFormat="1" ht="18" customHeight="1">
      <c r="A9" s="30"/>
      <c r="B9" s="1819" t="s">
        <v>550</v>
      </c>
      <c r="C9" s="1658" t="s">
        <v>53</v>
      </c>
      <c r="D9" s="923">
        <v>429265967507</v>
      </c>
      <c r="E9" s="1659">
        <f>D9/$D$18*100</f>
        <v>38.840794259591668</v>
      </c>
      <c r="F9" s="923">
        <v>417666076301</v>
      </c>
      <c r="G9" s="1659">
        <f>F9/$F$18*100</f>
        <v>36.350629461667495</v>
      </c>
      <c r="H9" s="1660">
        <f>IF(ISERROR(F9/D9*100),"-",ROUND(F9/D9*100,1))</f>
        <v>97.3</v>
      </c>
      <c r="I9" s="28"/>
      <c r="J9" s="28"/>
      <c r="K9" s="30"/>
      <c r="L9" s="31"/>
      <c r="M9" s="31"/>
    </row>
    <row r="10" spans="1:13" s="32" customFormat="1" ht="18" customHeight="1">
      <c r="A10" s="30"/>
      <c r="B10" s="1819"/>
      <c r="C10" s="1658" t="s">
        <v>54</v>
      </c>
      <c r="D10" s="923">
        <v>320202059261</v>
      </c>
      <c r="E10" s="1659">
        <f t="shared" ref="E10:E17" si="0">D10/$D$18*100</f>
        <v>28.972486166286345</v>
      </c>
      <c r="F10" s="923">
        <v>330921708203</v>
      </c>
      <c r="G10" s="1659">
        <f t="shared" ref="G10:G18" si="1">F10/$F$18*100</f>
        <v>28.801028089818324</v>
      </c>
      <c r="H10" s="1660">
        <f t="shared" ref="H10:H31" si="2">IF(ISERROR(F10/D10*100),"-",ROUND(F10/D10*100,1))</f>
        <v>103.3</v>
      </c>
      <c r="I10" s="28"/>
      <c r="J10" s="28"/>
      <c r="K10" s="30"/>
      <c r="L10" s="31"/>
      <c r="M10" s="31"/>
    </row>
    <row r="11" spans="1:13" s="32" customFormat="1" ht="18" customHeight="1">
      <c r="A11" s="30"/>
      <c r="B11" s="1819"/>
      <c r="C11" s="1658" t="s">
        <v>55</v>
      </c>
      <c r="D11" s="923">
        <v>0</v>
      </c>
      <c r="E11" s="1659">
        <f t="shared" si="0"/>
        <v>0</v>
      </c>
      <c r="F11" s="923">
        <v>0</v>
      </c>
      <c r="G11" s="1659">
        <f t="shared" si="1"/>
        <v>0</v>
      </c>
      <c r="H11" s="1660" t="str">
        <f t="shared" si="2"/>
        <v>-</v>
      </c>
      <c r="I11" s="28"/>
      <c r="J11" s="28"/>
      <c r="K11" s="30"/>
      <c r="L11" s="31"/>
      <c r="M11" s="31"/>
    </row>
    <row r="12" spans="1:13" s="32" customFormat="1" ht="18" customHeight="1">
      <c r="A12" s="30"/>
      <c r="B12" s="1819"/>
      <c r="C12" s="1658" t="s">
        <v>56</v>
      </c>
      <c r="D12" s="923">
        <v>244604969384</v>
      </c>
      <c r="E12" s="1659">
        <f t="shared" si="0"/>
        <v>22.132318911498004</v>
      </c>
      <c r="F12" s="923">
        <v>252195657710</v>
      </c>
      <c r="G12" s="1659">
        <f t="shared" si="1"/>
        <v>21.94928299288306</v>
      </c>
      <c r="H12" s="1660">
        <f t="shared" si="2"/>
        <v>103.1</v>
      </c>
      <c r="I12" s="28"/>
      <c r="J12" s="28"/>
      <c r="K12" s="30"/>
      <c r="L12" s="31"/>
      <c r="M12" s="31"/>
    </row>
    <row r="13" spans="1:13" s="32" customFormat="1" ht="18" customHeight="1">
      <c r="A13" s="30"/>
      <c r="B13" s="1819"/>
      <c r="C13" s="1658" t="s">
        <v>57</v>
      </c>
      <c r="D13" s="923">
        <v>1567606612</v>
      </c>
      <c r="E13" s="1659">
        <f t="shared" si="0"/>
        <v>0.14184000248208514</v>
      </c>
      <c r="F13" s="923">
        <v>1957529417</v>
      </c>
      <c r="G13" s="1659">
        <f t="shared" si="1"/>
        <v>0.17036917895721049</v>
      </c>
      <c r="H13" s="1660">
        <f t="shared" si="2"/>
        <v>124.9</v>
      </c>
      <c r="I13" s="28"/>
      <c r="J13" s="28"/>
      <c r="K13" s="30"/>
      <c r="L13" s="31"/>
      <c r="M13" s="31"/>
    </row>
    <row r="14" spans="1:13" s="32" customFormat="1" ht="18" customHeight="1">
      <c r="A14" s="30"/>
      <c r="B14" s="1819"/>
      <c r="C14" s="1658" t="s">
        <v>58</v>
      </c>
      <c r="D14" s="923">
        <v>80865006818</v>
      </c>
      <c r="E14" s="1659">
        <f t="shared" si="0"/>
        <v>7.3168183139680139</v>
      </c>
      <c r="F14" s="923">
        <v>86706649365</v>
      </c>
      <c r="G14" s="1659">
        <f t="shared" si="1"/>
        <v>7.5463186065856132</v>
      </c>
      <c r="H14" s="1660">
        <f t="shared" si="2"/>
        <v>107.2</v>
      </c>
      <c r="I14" s="28"/>
      <c r="J14" s="28"/>
      <c r="K14" s="30"/>
      <c r="L14" s="31"/>
      <c r="M14" s="31"/>
    </row>
    <row r="15" spans="1:13" s="32" customFormat="1" ht="18" customHeight="1">
      <c r="A15" s="30"/>
      <c r="B15" s="1819"/>
      <c r="C15" s="1658" t="s">
        <v>59</v>
      </c>
      <c r="D15" s="923">
        <v>8059163801</v>
      </c>
      <c r="E15" s="1659">
        <f t="shared" si="0"/>
        <v>0.72920833886950365</v>
      </c>
      <c r="F15" s="923">
        <v>9845500279</v>
      </c>
      <c r="G15" s="1659">
        <f t="shared" si="1"/>
        <v>0.85688101766912894</v>
      </c>
      <c r="H15" s="1660">
        <f t="shared" si="2"/>
        <v>122.2</v>
      </c>
      <c r="I15" s="28"/>
      <c r="J15" s="28"/>
      <c r="K15" s="30"/>
      <c r="L15" s="31"/>
      <c r="M15" s="31"/>
    </row>
    <row r="16" spans="1:13" s="32" customFormat="1" ht="18" customHeight="1">
      <c r="A16" s="30"/>
      <c r="B16" s="1819"/>
      <c r="C16" s="1658" t="s">
        <v>60</v>
      </c>
      <c r="D16" s="923">
        <v>0</v>
      </c>
      <c r="E16" s="1659">
        <f t="shared" si="0"/>
        <v>0</v>
      </c>
      <c r="F16" s="923">
        <v>5473804000</v>
      </c>
      <c r="G16" s="1659">
        <f t="shared" si="1"/>
        <v>0.47640024469307607</v>
      </c>
      <c r="H16" s="1660" t="str">
        <f t="shared" si="2"/>
        <v>-</v>
      </c>
      <c r="I16" s="28"/>
      <c r="J16" s="28"/>
      <c r="K16" s="30"/>
      <c r="L16" s="31"/>
      <c r="M16" s="31"/>
    </row>
    <row r="17" spans="1:13" s="32" customFormat="1" ht="18" customHeight="1">
      <c r="A17" s="30"/>
      <c r="B17" s="1819"/>
      <c r="C17" s="1658" t="s">
        <v>61</v>
      </c>
      <c r="D17" s="923">
        <f>D$18-SUM(D9:D16)</f>
        <v>20628814158</v>
      </c>
      <c r="E17" s="1659">
        <f t="shared" si="0"/>
        <v>1.8665340073043737</v>
      </c>
      <c r="F17" s="923">
        <f>F$18-SUM(F9:F16)</f>
        <v>44225767524</v>
      </c>
      <c r="G17" s="1659">
        <f t="shared" si="1"/>
        <v>3.8490904077260892</v>
      </c>
      <c r="H17" s="1660">
        <f t="shared" si="2"/>
        <v>214.4</v>
      </c>
      <c r="I17" s="28"/>
      <c r="J17" s="28"/>
      <c r="K17" s="30"/>
      <c r="L17" s="31"/>
      <c r="M17" s="31"/>
    </row>
    <row r="18" spans="1:13" s="32" customFormat="1" ht="18" customHeight="1">
      <c r="A18" s="30"/>
      <c r="B18" s="1819"/>
      <c r="C18" s="1656" t="s">
        <v>62</v>
      </c>
      <c r="D18" s="923">
        <v>1105193587541</v>
      </c>
      <c r="E18" s="1659">
        <f>D18/$D$18*100</f>
        <v>100</v>
      </c>
      <c r="F18" s="923">
        <v>1148992692799</v>
      </c>
      <c r="G18" s="1659">
        <f t="shared" si="1"/>
        <v>100</v>
      </c>
      <c r="H18" s="1660">
        <f t="shared" si="2"/>
        <v>104</v>
      </c>
      <c r="I18" s="28"/>
      <c r="J18" s="28"/>
      <c r="K18" s="30"/>
      <c r="L18" s="31"/>
      <c r="M18" s="31"/>
    </row>
    <row r="19" spans="1:13" s="32" customFormat="1" ht="18" customHeight="1">
      <c r="A19" s="30"/>
      <c r="B19" s="1820" t="s">
        <v>551</v>
      </c>
      <c r="C19" s="1658" t="s">
        <v>63</v>
      </c>
      <c r="D19" s="923">
        <v>67670220</v>
      </c>
      <c r="E19" s="1659">
        <f>D19/$D$30*100</f>
        <v>6.378250635650117E-3</v>
      </c>
      <c r="F19" s="923">
        <v>73814404</v>
      </c>
      <c r="G19" s="1659">
        <f>F19/$F$30*100</f>
        <v>6.5394452929619824E-3</v>
      </c>
      <c r="H19" s="1660">
        <f t="shared" si="2"/>
        <v>109.1</v>
      </c>
      <c r="I19" s="28"/>
      <c r="J19" s="28"/>
      <c r="K19" s="30"/>
      <c r="L19" s="31"/>
      <c r="M19" s="31"/>
    </row>
    <row r="20" spans="1:13" s="32" customFormat="1" ht="18" customHeight="1">
      <c r="A20" s="30"/>
      <c r="B20" s="1820"/>
      <c r="C20" s="1658" t="s">
        <v>64</v>
      </c>
      <c r="D20" s="923">
        <v>807801338689</v>
      </c>
      <c r="E20" s="1659">
        <f t="shared" ref="E20:E30" si="3">D20/$D$30*100</f>
        <v>76.139244145683733</v>
      </c>
      <c r="F20" s="923">
        <v>855942875371</v>
      </c>
      <c r="G20" s="1659">
        <f t="shared" ref="G20:G30" si="4">F20/$F$30*100</f>
        <v>75.83061440676579</v>
      </c>
      <c r="H20" s="1660">
        <f t="shared" si="2"/>
        <v>106</v>
      </c>
      <c r="I20" s="28"/>
      <c r="J20" s="28"/>
      <c r="K20" s="30"/>
      <c r="L20" s="31"/>
      <c r="M20" s="31"/>
    </row>
    <row r="21" spans="1:13" s="32" customFormat="1" ht="18" customHeight="1">
      <c r="A21" s="30"/>
      <c r="B21" s="1820"/>
      <c r="C21" s="1658" t="s">
        <v>65</v>
      </c>
      <c r="D21" s="923">
        <v>169398768924</v>
      </c>
      <c r="E21" s="1659">
        <f t="shared" si="3"/>
        <v>15.96666606917859</v>
      </c>
      <c r="F21" s="923">
        <v>168557541467</v>
      </c>
      <c r="G21" s="1659">
        <f t="shared" si="4"/>
        <v>14.933031514277584</v>
      </c>
      <c r="H21" s="1660">
        <f t="shared" si="2"/>
        <v>99.5</v>
      </c>
      <c r="I21" s="28"/>
      <c r="J21" s="28"/>
      <c r="K21" s="30"/>
      <c r="L21" s="31"/>
      <c r="M21" s="31"/>
    </row>
    <row r="22" spans="1:13" s="32" customFormat="1" ht="18" customHeight="1">
      <c r="A22" s="30"/>
      <c r="B22" s="1820"/>
      <c r="C22" s="1658" t="s">
        <v>66</v>
      </c>
      <c r="D22" s="923">
        <v>304535953</v>
      </c>
      <c r="E22" s="1659">
        <f t="shared" si="3"/>
        <v>2.8704009471235119E-2</v>
      </c>
      <c r="F22" s="923">
        <v>322825268</v>
      </c>
      <c r="G22" s="1659">
        <f t="shared" si="4"/>
        <v>2.8600084331396762E-2</v>
      </c>
      <c r="H22" s="1660">
        <f t="shared" si="2"/>
        <v>106</v>
      </c>
      <c r="I22" s="28"/>
      <c r="J22" s="28"/>
      <c r="K22" s="30"/>
      <c r="L22" s="31"/>
      <c r="M22" s="31"/>
    </row>
    <row r="23" spans="1:13" s="32" customFormat="1" ht="18" customHeight="1">
      <c r="A23" s="30"/>
      <c r="B23" s="1820"/>
      <c r="C23" s="1658" t="s">
        <v>67</v>
      </c>
      <c r="D23" s="923">
        <v>67953753998</v>
      </c>
      <c r="E23" s="1659">
        <f t="shared" si="3"/>
        <v>6.4049751076995936</v>
      </c>
      <c r="F23" s="923">
        <v>73210546844</v>
      </c>
      <c r="G23" s="1659">
        <f t="shared" si="4"/>
        <v>6.4859477284971172</v>
      </c>
      <c r="H23" s="1660">
        <f t="shared" si="2"/>
        <v>107.7</v>
      </c>
      <c r="I23" s="28"/>
      <c r="J23" s="28"/>
      <c r="K23" s="30"/>
      <c r="L23" s="31"/>
      <c r="M23" s="31"/>
    </row>
    <row r="24" spans="1:13" s="32" customFormat="1" ht="18" customHeight="1">
      <c r="A24" s="30"/>
      <c r="B24" s="1820"/>
      <c r="C24" s="1658" t="s">
        <v>68</v>
      </c>
      <c r="D24" s="923">
        <v>995740</v>
      </c>
      <c r="E24" s="1659">
        <f t="shared" si="3"/>
        <v>9.3853386141529434E-5</v>
      </c>
      <c r="F24" s="923">
        <v>610409</v>
      </c>
      <c r="G24" s="1659">
        <f t="shared" si="4"/>
        <v>5.4078012495117225E-5</v>
      </c>
      <c r="H24" s="1660">
        <f t="shared" si="2"/>
        <v>61.3</v>
      </c>
      <c r="I24" s="28"/>
      <c r="J24" s="28"/>
      <c r="K24" s="30"/>
      <c r="L24" s="31"/>
      <c r="M24" s="31"/>
    </row>
    <row r="25" spans="1:13" s="32" customFormat="1" ht="18" customHeight="1">
      <c r="A25" s="30"/>
      <c r="B25" s="1820"/>
      <c r="C25" s="1658" t="s">
        <v>69</v>
      </c>
      <c r="D25" s="923">
        <v>1629669097</v>
      </c>
      <c r="E25" s="1659">
        <f t="shared" si="3"/>
        <v>0.15360431743593567</v>
      </c>
      <c r="F25" s="923">
        <v>1936271764</v>
      </c>
      <c r="G25" s="1659">
        <f t="shared" si="4"/>
        <v>0.17154027651547513</v>
      </c>
      <c r="H25" s="1660">
        <f t="shared" si="2"/>
        <v>118.8</v>
      </c>
      <c r="I25" s="28"/>
      <c r="J25" s="28"/>
      <c r="K25" s="30"/>
      <c r="L25" s="31"/>
      <c r="M25" s="31"/>
    </row>
    <row r="26" spans="1:13" s="32" customFormat="1" ht="18" customHeight="1">
      <c r="A26" s="30"/>
      <c r="B26" s="1820"/>
      <c r="C26" s="1658" t="s">
        <v>70</v>
      </c>
      <c r="D26" s="923">
        <v>66285034</v>
      </c>
      <c r="E26" s="1659">
        <f t="shared" si="3"/>
        <v>6.2476900510237687E-3</v>
      </c>
      <c r="F26" s="923">
        <v>59922351</v>
      </c>
      <c r="G26" s="1659">
        <f t="shared" si="4"/>
        <v>5.308705550073475E-3</v>
      </c>
      <c r="H26" s="1660">
        <f t="shared" si="2"/>
        <v>90.4</v>
      </c>
      <c r="I26" s="28"/>
      <c r="J26" s="28"/>
      <c r="K26" s="30"/>
      <c r="L26" s="31"/>
      <c r="M26" s="31"/>
    </row>
    <row r="27" spans="1:13" s="32" customFormat="1" ht="18" customHeight="1">
      <c r="A27" s="30"/>
      <c r="B27" s="1820"/>
      <c r="C27" s="1658" t="s">
        <v>71</v>
      </c>
      <c r="D27" s="923">
        <v>12209442195</v>
      </c>
      <c r="E27" s="1659">
        <f t="shared" si="3"/>
        <v>1.1507999004760456</v>
      </c>
      <c r="F27" s="923">
        <v>27533622406</v>
      </c>
      <c r="G27" s="1659">
        <f t="shared" si="4"/>
        <v>2.4392883730539809</v>
      </c>
      <c r="H27" s="1660">
        <f t="shared" si="2"/>
        <v>225.5</v>
      </c>
      <c r="I27" s="28"/>
      <c r="J27" s="28"/>
      <c r="K27" s="30"/>
      <c r="L27" s="31"/>
      <c r="M27" s="31"/>
    </row>
    <row r="28" spans="1:13" s="32" customFormat="1" ht="18" customHeight="1">
      <c r="A28" s="30"/>
      <c r="B28" s="1820"/>
      <c r="C28" s="1658" t="s">
        <v>72</v>
      </c>
      <c r="D28" s="923">
        <v>2202038</v>
      </c>
      <c r="E28" s="1659">
        <f t="shared" si="3"/>
        <v>2.0755289805804848E-4</v>
      </c>
      <c r="F28" s="923">
        <v>2191497</v>
      </c>
      <c r="G28" s="1659">
        <f t="shared" si="4"/>
        <v>1.9415146590075164E-4</v>
      </c>
      <c r="H28" s="1660">
        <f t="shared" si="2"/>
        <v>99.5</v>
      </c>
      <c r="I28" s="28"/>
      <c r="J28" s="28"/>
      <c r="K28" s="30"/>
      <c r="L28" s="31"/>
      <c r="M28" s="31"/>
    </row>
    <row r="29" spans="1:13" s="32" customFormat="1" ht="18" customHeight="1">
      <c r="A29" s="30"/>
      <c r="B29" s="1820"/>
      <c r="C29" s="1658" t="s">
        <v>73</v>
      </c>
      <c r="D29" s="923">
        <f>D$30-SUM(D19:D28)</f>
        <v>1518001555</v>
      </c>
      <c r="E29" s="1659">
        <f t="shared" si="3"/>
        <v>0.14307910308399496</v>
      </c>
      <c r="F29" s="923">
        <f>F$30-SUM(F19:F28)</f>
        <v>1116128233</v>
      </c>
      <c r="G29" s="1659">
        <f t="shared" si="4"/>
        <v>9.8881236237223086E-2</v>
      </c>
      <c r="H29" s="1660">
        <f t="shared" si="2"/>
        <v>73.5</v>
      </c>
      <c r="I29" s="28"/>
      <c r="J29" s="28"/>
      <c r="K29" s="30"/>
      <c r="L29" s="31"/>
      <c r="M29" s="31"/>
    </row>
    <row r="30" spans="1:13" s="32" customFormat="1" ht="18" customHeight="1">
      <c r="A30" s="30"/>
      <c r="B30" s="1820"/>
      <c r="C30" s="1656" t="s">
        <v>62</v>
      </c>
      <c r="D30" s="923">
        <v>1060952663443</v>
      </c>
      <c r="E30" s="1659">
        <f t="shared" si="3"/>
        <v>100</v>
      </c>
      <c r="F30" s="923">
        <v>1128756350014</v>
      </c>
      <c r="G30" s="1659">
        <f t="shared" si="4"/>
        <v>100</v>
      </c>
      <c r="H30" s="1660">
        <f t="shared" si="2"/>
        <v>106.4</v>
      </c>
      <c r="I30" s="28"/>
      <c r="J30" s="28"/>
      <c r="K30" s="30"/>
      <c r="L30" s="31"/>
      <c r="M30" s="31"/>
    </row>
    <row r="31" spans="1:13" s="32" customFormat="1" ht="18" customHeight="1">
      <c r="A31" s="30"/>
      <c r="B31" s="1821" t="s">
        <v>74</v>
      </c>
      <c r="C31" s="1821"/>
      <c r="D31" s="923">
        <f>$D$18-$D$30</f>
        <v>44240924098</v>
      </c>
      <c r="E31" s="1659" t="s">
        <v>433</v>
      </c>
      <c r="F31" s="923">
        <f>$F$18-$F$30</f>
        <v>20236342785</v>
      </c>
      <c r="G31" s="1659" t="s">
        <v>433</v>
      </c>
      <c r="H31" s="1660">
        <f t="shared" si="2"/>
        <v>45.7</v>
      </c>
      <c r="I31" s="28"/>
      <c r="J31" s="28"/>
      <c r="K31" s="30"/>
      <c r="L31" s="31"/>
      <c r="M31" s="31"/>
    </row>
    <row r="32" spans="1:13" s="32" customFormat="1" ht="18" customHeight="1">
      <c r="A32" s="30"/>
      <c r="B32" s="26"/>
      <c r="C32" s="26"/>
      <c r="D32" s="27"/>
      <c r="E32" s="27"/>
      <c r="F32" s="29"/>
      <c r="G32" s="28"/>
      <c r="H32" s="28"/>
      <c r="I32" s="28"/>
      <c r="J32" s="28"/>
      <c r="K32" s="30"/>
      <c r="L32" s="31"/>
      <c r="M32" s="31"/>
    </row>
    <row r="33" spans="1:13" s="32" customFormat="1" ht="18" customHeight="1">
      <c r="A33" s="30"/>
      <c r="B33" s="35" t="s">
        <v>106</v>
      </c>
      <c r="C33" s="46"/>
      <c r="D33" s="27"/>
      <c r="E33" s="27"/>
      <c r="F33" s="29"/>
      <c r="G33" s="28"/>
      <c r="H33" s="28"/>
      <c r="I33" s="28"/>
      <c r="J33" s="28"/>
      <c r="K33" s="30"/>
      <c r="L33" s="31"/>
      <c r="M33" s="31"/>
    </row>
    <row r="34" spans="1:13" s="32" customFormat="1" ht="18" customHeight="1">
      <c r="A34" s="30"/>
      <c r="B34" s="1818" t="s">
        <v>49</v>
      </c>
      <c r="C34" s="1818"/>
      <c r="D34" s="1818" t="str">
        <f>情報!$D$3</f>
        <v>令和2年度</v>
      </c>
      <c r="E34" s="1818"/>
      <c r="F34" s="1818" t="str">
        <f>情報!$D$2</f>
        <v>令和3年度</v>
      </c>
      <c r="G34" s="1818"/>
      <c r="H34" s="1818"/>
      <c r="I34" s="28"/>
      <c r="J34" s="28"/>
      <c r="K34" s="30"/>
      <c r="L34" s="31"/>
      <c r="M34" s="31"/>
    </row>
    <row r="35" spans="1:13" s="32" customFormat="1" ht="35.4" customHeight="1">
      <c r="A35" s="30"/>
      <c r="B35" s="1818" t="s">
        <v>50</v>
      </c>
      <c r="C35" s="1818"/>
      <c r="D35" s="924" t="s">
        <v>51</v>
      </c>
      <c r="E35" s="810" t="s">
        <v>52</v>
      </c>
      <c r="F35" s="924" t="s">
        <v>51</v>
      </c>
      <c r="G35" s="810" t="s">
        <v>52</v>
      </c>
      <c r="H35" s="810" t="s">
        <v>434</v>
      </c>
      <c r="I35" s="28"/>
      <c r="J35" s="28"/>
      <c r="K35" s="30"/>
      <c r="L35" s="31"/>
      <c r="M35" s="31"/>
    </row>
    <row r="36" spans="1:13" s="32" customFormat="1" ht="18" customHeight="1">
      <c r="A36" s="30"/>
      <c r="B36" s="1822" t="s">
        <v>550</v>
      </c>
      <c r="C36" s="811" t="s">
        <v>75</v>
      </c>
      <c r="D36" s="644">
        <v>311876076954</v>
      </c>
      <c r="E36" s="645">
        <f>D36/$D$45*100</f>
        <v>24.199204657351554</v>
      </c>
      <c r="F36" s="644">
        <v>313878010273</v>
      </c>
      <c r="G36" s="645">
        <f>F36/$F$45*100</f>
        <v>23.55278652072899</v>
      </c>
      <c r="H36" s="1654">
        <f t="shared" ref="H36:H56" si="5">IF(ISERROR(F36/D36*100),"-",ROUND(F36/D36*100,1))</f>
        <v>100.6</v>
      </c>
      <c r="I36" s="28"/>
      <c r="J36" s="1530" t="s">
        <v>696</v>
      </c>
      <c r="K36" s="30"/>
      <c r="L36" s="31"/>
      <c r="M36" s="31"/>
    </row>
    <row r="37" spans="1:13" s="32" customFormat="1" ht="18" customHeight="1">
      <c r="A37" s="30"/>
      <c r="B37" s="1822"/>
      <c r="C37" s="811" t="s">
        <v>54</v>
      </c>
      <c r="D37" s="644">
        <v>9981404000</v>
      </c>
      <c r="E37" s="645">
        <f t="shared" ref="E37:E45" si="6">D37/$D$45*100</f>
        <v>0.77448081469658081</v>
      </c>
      <c r="F37" s="644">
        <v>2881026500</v>
      </c>
      <c r="G37" s="645">
        <f t="shared" ref="G37:G45" si="7">F37/$F$45*100</f>
        <v>0.21618654347924562</v>
      </c>
      <c r="H37" s="1654">
        <f t="shared" si="5"/>
        <v>28.9</v>
      </c>
      <c r="I37" s="28"/>
      <c r="J37" s="1530" t="s">
        <v>697</v>
      </c>
      <c r="K37" s="30"/>
      <c r="L37" s="31"/>
      <c r="M37" s="31"/>
    </row>
    <row r="38" spans="1:13" s="32" customFormat="1" ht="18" customHeight="1">
      <c r="A38" s="30"/>
      <c r="B38" s="1822"/>
      <c r="C38" s="811" t="s">
        <v>76</v>
      </c>
      <c r="D38" s="644">
        <v>809858869910</v>
      </c>
      <c r="E38" s="645">
        <f t="shared" si="6"/>
        <v>62.838870900040625</v>
      </c>
      <c r="F38" s="644">
        <v>857995615418</v>
      </c>
      <c r="G38" s="645">
        <f t="shared" si="7"/>
        <v>64.382297912763235</v>
      </c>
      <c r="H38" s="1654">
        <f t="shared" si="5"/>
        <v>105.9</v>
      </c>
      <c r="I38" s="28"/>
      <c r="J38" s="1530" t="s">
        <v>626</v>
      </c>
      <c r="K38" s="30"/>
      <c r="L38" s="31"/>
      <c r="M38" s="31"/>
    </row>
    <row r="39" spans="1:13" s="32" customFormat="1" ht="18" customHeight="1">
      <c r="A39" s="30"/>
      <c r="B39" s="1822"/>
      <c r="C39" s="811" t="s">
        <v>549</v>
      </c>
      <c r="D39" s="644">
        <v>0</v>
      </c>
      <c r="E39" s="645">
        <f t="shared" si="6"/>
        <v>0</v>
      </c>
      <c r="F39" s="644">
        <v>0</v>
      </c>
      <c r="G39" s="645">
        <f t="shared" si="7"/>
        <v>0</v>
      </c>
      <c r="H39" s="1654" t="str">
        <f t="shared" si="5"/>
        <v>-</v>
      </c>
      <c r="I39" s="28"/>
      <c r="J39" s="1530" t="s">
        <v>1062</v>
      </c>
      <c r="K39" s="30"/>
      <c r="L39" s="31"/>
      <c r="M39" s="31"/>
    </row>
    <row r="40" spans="1:13" s="32" customFormat="1" ht="18" customHeight="1">
      <c r="A40" s="30"/>
      <c r="B40" s="1822"/>
      <c r="C40" s="811" t="s">
        <v>77</v>
      </c>
      <c r="D40" s="644">
        <v>133439623852</v>
      </c>
      <c r="E40" s="645">
        <f t="shared" si="6"/>
        <v>10.353896966168513</v>
      </c>
      <c r="F40" s="644">
        <v>127509097176</v>
      </c>
      <c r="G40" s="645">
        <f t="shared" si="7"/>
        <v>9.5680310405470692</v>
      </c>
      <c r="H40" s="1654">
        <f t="shared" si="5"/>
        <v>95.6</v>
      </c>
      <c r="I40" s="28"/>
      <c r="J40" s="1530" t="s">
        <v>1063</v>
      </c>
      <c r="K40" s="30"/>
      <c r="L40" s="31"/>
      <c r="M40" s="31"/>
    </row>
    <row r="41" spans="1:13" s="32" customFormat="1" ht="18" customHeight="1">
      <c r="A41" s="30"/>
      <c r="B41" s="1822"/>
      <c r="C41" s="811" t="s">
        <v>78</v>
      </c>
      <c r="D41" s="644">
        <v>0</v>
      </c>
      <c r="E41" s="645">
        <f t="shared" si="6"/>
        <v>0</v>
      </c>
      <c r="F41" s="644">
        <v>0</v>
      </c>
      <c r="G41" s="645">
        <f t="shared" si="7"/>
        <v>0</v>
      </c>
      <c r="H41" s="1654" t="str">
        <f t="shared" si="5"/>
        <v>-</v>
      </c>
      <c r="I41" s="28"/>
      <c r="J41" s="1530" t="s">
        <v>1064</v>
      </c>
      <c r="K41" s="30"/>
      <c r="L41" s="31"/>
      <c r="M41" s="31"/>
    </row>
    <row r="42" spans="1:13" s="32" customFormat="1" ht="18" customHeight="1">
      <c r="A42" s="30"/>
      <c r="B42" s="1822"/>
      <c r="C42" s="811" t="s">
        <v>79</v>
      </c>
      <c r="D42" s="644">
        <v>878743000</v>
      </c>
      <c r="E42" s="645">
        <f t="shared" si="6"/>
        <v>6.8183753963762764E-2</v>
      </c>
      <c r="F42" s="644">
        <v>1176208000</v>
      </c>
      <c r="G42" s="645">
        <f t="shared" si="7"/>
        <v>8.8260327328692226E-2</v>
      </c>
      <c r="H42" s="1654">
        <f t="shared" si="5"/>
        <v>133.9</v>
      </c>
      <c r="I42" s="28"/>
      <c r="J42" s="1530" t="s">
        <v>1065</v>
      </c>
      <c r="K42" s="30"/>
      <c r="L42" s="31"/>
      <c r="M42" s="31"/>
    </row>
    <row r="43" spans="1:13" s="32" customFormat="1" ht="18" customHeight="1">
      <c r="A43" s="30"/>
      <c r="B43" s="1822"/>
      <c r="C43" s="811" t="s">
        <v>80</v>
      </c>
      <c r="D43" s="644">
        <v>0</v>
      </c>
      <c r="E43" s="645">
        <f t="shared" si="6"/>
        <v>0</v>
      </c>
      <c r="F43" s="644">
        <v>0</v>
      </c>
      <c r="G43" s="645">
        <f t="shared" si="7"/>
        <v>0</v>
      </c>
      <c r="H43" s="1654" t="str">
        <f t="shared" si="5"/>
        <v>-</v>
      </c>
      <c r="I43" s="28"/>
      <c r="J43" s="1530" t="s">
        <v>1066</v>
      </c>
      <c r="K43" s="30"/>
      <c r="L43" s="31"/>
      <c r="M43" s="31"/>
    </row>
    <row r="44" spans="1:13" s="32" customFormat="1" ht="18" customHeight="1">
      <c r="A44" s="30"/>
      <c r="B44" s="1822"/>
      <c r="C44" s="811" t="s">
        <v>552</v>
      </c>
      <c r="D44" s="923">
        <f>D$45-SUM(D36:D43)</f>
        <v>22751758410</v>
      </c>
      <c r="E44" s="645">
        <f t="shared" si="6"/>
        <v>1.7653629077789643</v>
      </c>
      <c r="F44" s="923">
        <f>F$45-SUM(F36:F43)</f>
        <v>29217688032</v>
      </c>
      <c r="G44" s="645">
        <f t="shared" si="7"/>
        <v>2.1924376551527738</v>
      </c>
      <c r="H44" s="1654">
        <f t="shared" si="5"/>
        <v>128.4</v>
      </c>
      <c r="I44" s="28"/>
      <c r="J44" s="28"/>
      <c r="K44" s="30"/>
      <c r="L44" s="31"/>
      <c r="M44" s="31"/>
    </row>
    <row r="45" spans="1:13" s="32" customFormat="1" ht="18" customHeight="1">
      <c r="A45" s="30"/>
      <c r="B45" s="1822"/>
      <c r="C45" s="809" t="s">
        <v>62</v>
      </c>
      <c r="D45" s="923">
        <v>1288786476126</v>
      </c>
      <c r="E45" s="645">
        <f t="shared" si="6"/>
        <v>100</v>
      </c>
      <c r="F45" s="923">
        <v>1332657645399</v>
      </c>
      <c r="G45" s="645">
        <f t="shared" si="7"/>
        <v>100</v>
      </c>
      <c r="H45" s="1654">
        <f t="shared" si="5"/>
        <v>103.4</v>
      </c>
      <c r="I45" s="28"/>
      <c r="J45" s="1530" t="s">
        <v>695</v>
      </c>
      <c r="K45" s="30"/>
      <c r="L45" s="31"/>
      <c r="M45" s="31"/>
    </row>
    <row r="46" spans="1:13" s="32" customFormat="1" ht="18" customHeight="1">
      <c r="A46" s="30"/>
      <c r="B46" s="1823" t="s">
        <v>551</v>
      </c>
      <c r="C46" s="811" t="s">
        <v>63</v>
      </c>
      <c r="D46" s="923">
        <v>22916010108</v>
      </c>
      <c r="E46" s="645">
        <f>D46/$D$55*100</f>
        <v>1.8156974291805243</v>
      </c>
      <c r="F46" s="923">
        <v>23131416067</v>
      </c>
      <c r="G46" s="645">
        <f>F46/$F$55*100</f>
        <v>1.7711892780249663</v>
      </c>
      <c r="H46" s="1654">
        <f t="shared" si="5"/>
        <v>100.9</v>
      </c>
      <c r="I46" s="28"/>
      <c r="J46" s="1530" t="s">
        <v>744</v>
      </c>
      <c r="K46" s="30"/>
      <c r="L46" s="31"/>
      <c r="M46" s="31"/>
    </row>
    <row r="47" spans="1:13" s="32" customFormat="1" ht="18" customHeight="1">
      <c r="A47" s="30"/>
      <c r="B47" s="1823"/>
      <c r="C47" s="811" t="s">
        <v>81</v>
      </c>
      <c r="D47" s="923">
        <v>781832063864</v>
      </c>
      <c r="E47" s="645">
        <f t="shared" ref="E47:E55" si="8">D47/$D$55*100</f>
        <v>61.946667928602238</v>
      </c>
      <c r="F47" s="923">
        <v>832233026130</v>
      </c>
      <c r="G47" s="645">
        <f t="shared" ref="G47:G55" si="9">F47/$F$55*100</f>
        <v>63.724685442091989</v>
      </c>
      <c r="H47" s="1654">
        <f t="shared" si="5"/>
        <v>106.4</v>
      </c>
      <c r="I47" s="28"/>
      <c r="J47" s="1530" t="s">
        <v>1069</v>
      </c>
      <c r="K47" s="30"/>
      <c r="L47" s="31"/>
      <c r="M47" s="31"/>
    </row>
    <row r="48" spans="1:13" s="32" customFormat="1" ht="18" customHeight="1">
      <c r="A48" s="30"/>
      <c r="B48" s="1823"/>
      <c r="C48" s="811" t="s">
        <v>82</v>
      </c>
      <c r="D48" s="923">
        <v>429265967507</v>
      </c>
      <c r="E48" s="645">
        <f t="shared" si="8"/>
        <v>34.011903030408206</v>
      </c>
      <c r="F48" s="923">
        <v>417666076301</v>
      </c>
      <c r="G48" s="645">
        <f t="shared" si="9"/>
        <v>31.980993900086453</v>
      </c>
      <c r="H48" s="1654">
        <f t="shared" si="5"/>
        <v>97.3</v>
      </c>
      <c r="I48" s="28"/>
      <c r="J48" s="1530" t="s">
        <v>1067</v>
      </c>
      <c r="K48" s="30"/>
      <c r="L48" s="31"/>
      <c r="M48" s="31"/>
    </row>
    <row r="49" spans="1:13" s="32" customFormat="1" ht="18" customHeight="1">
      <c r="A49" s="30"/>
      <c r="B49" s="1823"/>
      <c r="C49" s="811" t="s">
        <v>83</v>
      </c>
      <c r="D49" s="923">
        <v>11499869112</v>
      </c>
      <c r="E49" s="645">
        <f t="shared" si="8"/>
        <v>0.91116571707574834</v>
      </c>
      <c r="F49" s="923">
        <v>12009094558</v>
      </c>
      <c r="G49" s="645">
        <f t="shared" si="9"/>
        <v>0.91954506625569543</v>
      </c>
      <c r="H49" s="1654">
        <f t="shared" si="5"/>
        <v>104.4</v>
      </c>
      <c r="I49" s="28"/>
      <c r="J49" s="1530" t="s">
        <v>667</v>
      </c>
      <c r="K49" s="30"/>
      <c r="L49" s="31"/>
      <c r="M49" s="31"/>
    </row>
    <row r="50" spans="1:13" s="32" customFormat="1" ht="18" customHeight="1">
      <c r="A50" s="30"/>
      <c r="B50" s="1823"/>
      <c r="C50" s="811" t="s">
        <v>84</v>
      </c>
      <c r="D50" s="923">
        <v>8059163801</v>
      </c>
      <c r="E50" s="645">
        <f t="shared" si="8"/>
        <v>0.63854933410559311</v>
      </c>
      <c r="F50" s="923">
        <v>9845500279</v>
      </c>
      <c r="G50" s="645">
        <f t="shared" si="9"/>
        <v>0.75387708562445344</v>
      </c>
      <c r="H50" s="1654">
        <f t="shared" si="5"/>
        <v>122.2</v>
      </c>
      <c r="I50" s="28"/>
      <c r="J50" s="1530" t="s">
        <v>745</v>
      </c>
      <c r="K50" s="30"/>
      <c r="L50" s="31"/>
      <c r="M50" s="31"/>
    </row>
    <row r="51" spans="1:13" s="32" customFormat="1" ht="18" customHeight="1">
      <c r="A51" s="30"/>
      <c r="B51" s="1823"/>
      <c r="C51" s="811" t="s">
        <v>85</v>
      </c>
      <c r="D51" s="923">
        <v>295507000</v>
      </c>
      <c r="E51" s="645">
        <f t="shared" si="8"/>
        <v>2.3413818447284532E-2</v>
      </c>
      <c r="F51" s="923">
        <v>303830000</v>
      </c>
      <c r="G51" s="645">
        <f t="shared" si="9"/>
        <v>2.3264483107458926E-2</v>
      </c>
      <c r="H51" s="1654">
        <f t="shared" si="5"/>
        <v>102.8</v>
      </c>
      <c r="I51" s="28"/>
      <c r="J51" s="1530" t="s">
        <v>646</v>
      </c>
      <c r="K51" s="30"/>
      <c r="L51" s="31"/>
      <c r="M51" s="31"/>
    </row>
    <row r="52" spans="1:13" s="32" customFormat="1" ht="18" customHeight="1">
      <c r="A52" s="30"/>
      <c r="B52" s="1823"/>
      <c r="C52" s="811" t="s">
        <v>86</v>
      </c>
      <c r="D52" s="923">
        <v>532083278</v>
      </c>
      <c r="E52" s="645">
        <f t="shared" si="8"/>
        <v>4.2158396484442071E-2</v>
      </c>
      <c r="F52" s="923">
        <v>759405590</v>
      </c>
      <c r="G52" s="645">
        <f t="shared" si="9"/>
        <v>5.8148235922275228E-2</v>
      </c>
      <c r="H52" s="1654">
        <f t="shared" si="5"/>
        <v>142.69999999999999</v>
      </c>
      <c r="I52" s="28"/>
      <c r="J52" s="1530" t="s">
        <v>645</v>
      </c>
      <c r="K52" s="30"/>
      <c r="L52" s="31"/>
      <c r="M52" s="31"/>
    </row>
    <row r="53" spans="1:13" s="32" customFormat="1" ht="18" customHeight="1">
      <c r="A53" s="30"/>
      <c r="B53" s="1823"/>
      <c r="C53" s="811" t="s">
        <v>87</v>
      </c>
      <c r="D53" s="923">
        <v>341876</v>
      </c>
      <c r="E53" s="645">
        <f t="shared" si="8"/>
        <v>2.7087759665537012E-5</v>
      </c>
      <c r="F53" s="923">
        <v>715273</v>
      </c>
      <c r="G53" s="645">
        <f t="shared" si="9"/>
        <v>5.4768971548963135E-5</v>
      </c>
      <c r="H53" s="1654">
        <f t="shared" si="5"/>
        <v>209.2</v>
      </c>
      <c r="I53" s="28"/>
      <c r="J53" s="1530" t="s">
        <v>1068</v>
      </c>
      <c r="K53" s="30"/>
      <c r="L53" s="31"/>
      <c r="M53" s="31"/>
    </row>
    <row r="54" spans="1:13" s="32" customFormat="1" ht="18" customHeight="1">
      <c r="A54" s="30"/>
      <c r="B54" s="1823"/>
      <c r="C54" s="811" t="s">
        <v>73</v>
      </c>
      <c r="D54" s="923">
        <f>D$55-SUM(D46:D53)</f>
        <v>7704107429</v>
      </c>
      <c r="E54" s="645">
        <f t="shared" si="8"/>
        <v>0.61041725793629931</v>
      </c>
      <c r="F54" s="923">
        <f>F$55-SUM(F46:F53)</f>
        <v>10033100102</v>
      </c>
      <c r="G54" s="645">
        <f t="shared" si="9"/>
        <v>0.7682417399151612</v>
      </c>
      <c r="H54" s="1654">
        <f t="shared" si="5"/>
        <v>130.19999999999999</v>
      </c>
      <c r="I54" s="28"/>
      <c r="J54" s="28"/>
      <c r="K54" s="30"/>
      <c r="L54" s="31"/>
      <c r="M54" s="31"/>
    </row>
    <row r="55" spans="1:13" s="32" customFormat="1" ht="18" customHeight="1">
      <c r="A55" s="30"/>
      <c r="B55" s="1823"/>
      <c r="C55" s="809" t="s">
        <v>62</v>
      </c>
      <c r="D55" s="644">
        <v>1262105113975</v>
      </c>
      <c r="E55" s="645">
        <f t="shared" si="8"/>
        <v>100</v>
      </c>
      <c r="F55" s="644">
        <v>1305982164300</v>
      </c>
      <c r="G55" s="645">
        <f t="shared" si="9"/>
        <v>100</v>
      </c>
      <c r="H55" s="1654">
        <f t="shared" si="5"/>
        <v>103.5</v>
      </c>
      <c r="I55" s="28"/>
      <c r="J55" s="1530" t="s">
        <v>735</v>
      </c>
      <c r="K55" s="30"/>
      <c r="L55" s="31"/>
      <c r="M55" s="31"/>
    </row>
    <row r="56" spans="1:13" s="32" customFormat="1" ht="18" customHeight="1">
      <c r="A56" s="30"/>
      <c r="B56" s="1824" t="s">
        <v>74</v>
      </c>
      <c r="C56" s="1824"/>
      <c r="D56" s="644">
        <f>$D$45-$D$55</f>
        <v>26681362151</v>
      </c>
      <c r="E56" s="645" t="s">
        <v>433</v>
      </c>
      <c r="F56" s="644">
        <f>$F$45-$F$55</f>
        <v>26675481099</v>
      </c>
      <c r="G56" s="645" t="s">
        <v>433</v>
      </c>
      <c r="H56" s="1654">
        <f t="shared" si="5"/>
        <v>100</v>
      </c>
      <c r="I56" s="28"/>
      <c r="J56" s="28"/>
      <c r="K56" s="30"/>
      <c r="L56" s="31"/>
      <c r="M56" s="31"/>
    </row>
    <row r="57" spans="1:13" s="32" customFormat="1" ht="18" customHeight="1">
      <c r="A57" s="30"/>
      <c r="B57" s="26"/>
      <c r="C57" s="26"/>
      <c r="D57" s="27"/>
      <c r="E57" s="27"/>
      <c r="F57" s="29"/>
      <c r="G57" s="28"/>
      <c r="H57" s="28"/>
      <c r="I57" s="28"/>
      <c r="J57" s="28"/>
      <c r="K57" s="30"/>
      <c r="L57" s="31"/>
      <c r="M57" s="31"/>
    </row>
    <row r="58" spans="1:13" s="32" customFormat="1" ht="18" customHeight="1">
      <c r="A58" s="30"/>
      <c r="B58" s="35" t="s">
        <v>105</v>
      </c>
      <c r="C58" s="46"/>
      <c r="D58" s="27"/>
      <c r="E58" s="27"/>
      <c r="F58" s="29"/>
      <c r="G58" s="28"/>
      <c r="H58" s="28"/>
      <c r="I58" s="28"/>
      <c r="J58" s="28"/>
      <c r="K58" s="30"/>
      <c r="L58" s="31"/>
      <c r="M58" s="31"/>
    </row>
    <row r="59" spans="1:13" s="32" customFormat="1" ht="18" customHeight="1">
      <c r="A59" s="30"/>
      <c r="B59" s="1816" t="s">
        <v>49</v>
      </c>
      <c r="C59" s="1817"/>
      <c r="D59" s="1818" t="str">
        <f>情報!$D$3</f>
        <v>令和2年度</v>
      </c>
      <c r="E59" s="1818"/>
      <c r="F59" s="1818" t="str">
        <f>情報!$D$2</f>
        <v>令和3年度</v>
      </c>
      <c r="G59" s="1818"/>
      <c r="H59" s="1818"/>
      <c r="I59" s="28"/>
      <c r="J59" s="28"/>
      <c r="K59" s="30"/>
      <c r="L59" s="31"/>
      <c r="M59" s="31"/>
    </row>
    <row r="60" spans="1:13" s="32" customFormat="1" ht="33.6" customHeight="1">
      <c r="A60" s="30"/>
      <c r="B60" s="1816" t="s">
        <v>50</v>
      </c>
      <c r="C60" s="1817"/>
      <c r="D60" s="924" t="s">
        <v>51</v>
      </c>
      <c r="E60" s="810" t="s">
        <v>52</v>
      </c>
      <c r="F60" s="924" t="s">
        <v>51</v>
      </c>
      <c r="G60" s="810" t="s">
        <v>52</v>
      </c>
      <c r="H60" s="810" t="s">
        <v>434</v>
      </c>
      <c r="I60" s="28"/>
      <c r="J60" s="28"/>
      <c r="K60" s="30"/>
      <c r="L60" s="31"/>
      <c r="M60" s="31"/>
    </row>
    <row r="61" spans="1:13" s="32" customFormat="1" ht="18" customHeight="1">
      <c r="A61" s="30"/>
      <c r="B61" s="1822" t="s">
        <v>553</v>
      </c>
      <c r="C61" s="811" t="s">
        <v>88</v>
      </c>
      <c r="D61" s="644">
        <v>283697717541</v>
      </c>
      <c r="E61" s="645">
        <f>D61/$D$69*100</f>
        <v>61.531151570852359</v>
      </c>
      <c r="F61" s="644">
        <v>289536917172</v>
      </c>
      <c r="G61" s="645">
        <f>F61/$F$69*100</f>
        <v>61.946345258084435</v>
      </c>
      <c r="H61" s="1654">
        <f t="shared" ref="H61:H81" si="10">IF(ISERROR(F61/D61*100),"-",ROUND(F61/D61*100,1))</f>
        <v>102.1</v>
      </c>
      <c r="I61" s="28"/>
      <c r="J61" s="1530" t="s">
        <v>696</v>
      </c>
      <c r="K61" s="30"/>
      <c r="L61" s="31"/>
      <c r="M61" s="31"/>
    </row>
    <row r="62" spans="1:13" s="32" customFormat="1" ht="18" customHeight="1">
      <c r="A62" s="30"/>
      <c r="B62" s="1822"/>
      <c r="C62" s="811" t="s">
        <v>54</v>
      </c>
      <c r="D62" s="644">
        <v>115102985156</v>
      </c>
      <c r="E62" s="645">
        <f t="shared" ref="E62:E69" si="11">D62/$D$69*100</f>
        <v>24.964667630319774</v>
      </c>
      <c r="F62" s="644">
        <v>113608893037</v>
      </c>
      <c r="G62" s="645">
        <f t="shared" ref="G62:G69" si="12">F62/$F$69*100</f>
        <v>24.306591992474843</v>
      </c>
      <c r="H62" s="1654">
        <f t="shared" si="10"/>
        <v>98.7</v>
      </c>
      <c r="I62" s="28"/>
      <c r="J62" s="1530" t="s">
        <v>697</v>
      </c>
      <c r="K62" s="30"/>
      <c r="L62" s="31"/>
      <c r="M62" s="31"/>
    </row>
    <row r="63" spans="1:13" s="32" customFormat="1" ht="18" customHeight="1">
      <c r="A63" s="30"/>
      <c r="B63" s="1822"/>
      <c r="C63" s="811" t="s">
        <v>56</v>
      </c>
      <c r="D63" s="644">
        <v>1295015649</v>
      </c>
      <c r="E63" s="645">
        <f t="shared" si="11"/>
        <v>0.28087573236724694</v>
      </c>
      <c r="F63" s="644">
        <v>1351887787</v>
      </c>
      <c r="G63" s="645">
        <f t="shared" si="12"/>
        <v>0.28923602703810347</v>
      </c>
      <c r="H63" s="1654">
        <f t="shared" si="10"/>
        <v>104.4</v>
      </c>
      <c r="I63" s="28"/>
      <c r="J63" s="1530" t="s">
        <v>713</v>
      </c>
      <c r="K63" s="30"/>
      <c r="L63" s="31"/>
      <c r="M63" s="31"/>
    </row>
    <row r="64" spans="1:13" s="32" customFormat="1" ht="18" customHeight="1">
      <c r="A64" s="30"/>
      <c r="B64" s="1822"/>
      <c r="C64" s="811" t="s">
        <v>76</v>
      </c>
      <c r="D64" s="644">
        <v>4421379291</v>
      </c>
      <c r="E64" s="645">
        <f t="shared" si="11"/>
        <v>0.95895223149770914</v>
      </c>
      <c r="F64" s="644">
        <v>4469989644</v>
      </c>
      <c r="G64" s="645">
        <f t="shared" si="12"/>
        <v>0.95635307749993481</v>
      </c>
      <c r="H64" s="1654">
        <f t="shared" si="10"/>
        <v>101.1</v>
      </c>
      <c r="I64" s="28"/>
      <c r="J64" s="1530" t="s">
        <v>626</v>
      </c>
      <c r="K64" s="30"/>
      <c r="L64" s="31"/>
      <c r="M64" s="31"/>
    </row>
    <row r="65" spans="1:13" s="32" customFormat="1" ht="18" customHeight="1">
      <c r="A65" s="30"/>
      <c r="B65" s="1822"/>
      <c r="C65" s="811" t="s">
        <v>89</v>
      </c>
      <c r="D65" s="644">
        <v>5622088000</v>
      </c>
      <c r="E65" s="645">
        <f t="shared" si="11"/>
        <v>1.2193737470682184</v>
      </c>
      <c r="F65" s="644">
        <v>5867700000</v>
      </c>
      <c r="G65" s="645">
        <f t="shared" si="12"/>
        <v>1.255392830804144</v>
      </c>
      <c r="H65" s="1654">
        <f t="shared" si="10"/>
        <v>104.4</v>
      </c>
      <c r="I65" s="28"/>
      <c r="J65" s="1530" t="s">
        <v>711</v>
      </c>
      <c r="K65" s="30"/>
      <c r="L65" s="31"/>
      <c r="M65" s="31"/>
    </row>
    <row r="66" spans="1:13" s="32" customFormat="1" ht="18" customHeight="1">
      <c r="A66" s="30"/>
      <c r="B66" s="1822"/>
      <c r="C66" s="811" t="s">
        <v>78</v>
      </c>
      <c r="D66" s="644">
        <v>29400000</v>
      </c>
      <c r="E66" s="645">
        <f t="shared" si="11"/>
        <v>6.3765611928887659E-3</v>
      </c>
      <c r="F66" s="644">
        <v>29400000</v>
      </c>
      <c r="G66" s="645">
        <f t="shared" si="12"/>
        <v>6.2901220624165905E-3</v>
      </c>
      <c r="H66" s="1654">
        <f t="shared" si="10"/>
        <v>100</v>
      </c>
      <c r="I66" s="28"/>
      <c r="J66" s="1530" t="s">
        <v>1064</v>
      </c>
      <c r="K66" s="30"/>
      <c r="L66" s="31"/>
      <c r="M66" s="31"/>
    </row>
    <row r="67" spans="1:13" s="32" customFormat="1" ht="18" customHeight="1">
      <c r="A67" s="30"/>
      <c r="B67" s="1822"/>
      <c r="C67" s="811" t="s">
        <v>90</v>
      </c>
      <c r="D67" s="644">
        <v>3068600300</v>
      </c>
      <c r="E67" s="645">
        <f t="shared" si="11"/>
        <v>0.66554821732880365</v>
      </c>
      <c r="F67" s="644">
        <v>3283522825</v>
      </c>
      <c r="G67" s="645">
        <f t="shared" si="12"/>
        <v>0.70250882190411401</v>
      </c>
      <c r="H67" s="1654">
        <f t="shared" si="10"/>
        <v>107</v>
      </c>
      <c r="I67" s="28"/>
      <c r="J67" s="1530" t="s">
        <v>1065</v>
      </c>
      <c r="K67" s="30"/>
      <c r="L67" s="31"/>
      <c r="M67" s="31"/>
    </row>
    <row r="68" spans="1:13" s="32" customFormat="1" ht="18" customHeight="1">
      <c r="A68" s="30"/>
      <c r="B68" s="1822"/>
      <c r="C68" s="811" t="s">
        <v>61</v>
      </c>
      <c r="D68" s="923">
        <f>D$69-SUM(D61:D67)</f>
        <v>47826373412</v>
      </c>
      <c r="E68" s="645">
        <f t="shared" si="11"/>
        <v>10.373054309373003</v>
      </c>
      <c r="F68" s="923">
        <f>F$69-SUM(F61:F67)</f>
        <v>49251204334</v>
      </c>
      <c r="G68" s="645">
        <f t="shared" si="12"/>
        <v>10.537281870132007</v>
      </c>
      <c r="H68" s="1654">
        <f t="shared" si="10"/>
        <v>103</v>
      </c>
      <c r="I68" s="28"/>
      <c r="J68" s="28"/>
      <c r="K68" s="30"/>
      <c r="L68" s="31"/>
      <c r="M68" s="31"/>
    </row>
    <row r="69" spans="1:13" s="32" customFormat="1" ht="18" customHeight="1">
      <c r="A69" s="30"/>
      <c r="B69" s="1822"/>
      <c r="C69" s="809" t="s">
        <v>62</v>
      </c>
      <c r="D69" s="923">
        <v>461063559349</v>
      </c>
      <c r="E69" s="645">
        <f t="shared" si="11"/>
        <v>100</v>
      </c>
      <c r="F69" s="923">
        <v>467399514799</v>
      </c>
      <c r="G69" s="645">
        <f t="shared" si="12"/>
        <v>100</v>
      </c>
      <c r="H69" s="1654">
        <f t="shared" si="10"/>
        <v>101.4</v>
      </c>
      <c r="I69" s="28"/>
      <c r="J69" s="1530" t="s">
        <v>695</v>
      </c>
      <c r="K69" s="30"/>
      <c r="L69" s="31"/>
      <c r="M69" s="31"/>
    </row>
    <row r="70" spans="1:13" s="32" customFormat="1" ht="18" customHeight="1">
      <c r="A70" s="30"/>
      <c r="B70" s="1823" t="s">
        <v>554</v>
      </c>
      <c r="C70" s="811" t="s">
        <v>63</v>
      </c>
      <c r="D70" s="923">
        <v>14074201181</v>
      </c>
      <c r="E70" s="645">
        <f>D70/$D$80*100</f>
        <v>3.5857083080420398</v>
      </c>
      <c r="F70" s="923">
        <v>14945189985</v>
      </c>
      <c r="G70" s="645">
        <f>F70/$F$80*100</f>
        <v>3.6250910081593957</v>
      </c>
      <c r="H70" s="1654">
        <f t="shared" si="10"/>
        <v>106.2</v>
      </c>
      <c r="I70" s="28"/>
      <c r="J70" s="1530" t="s">
        <v>744</v>
      </c>
      <c r="K70" s="30"/>
      <c r="L70" s="31"/>
      <c r="M70" s="31"/>
    </row>
    <row r="71" spans="1:13" s="32" customFormat="1" ht="18" customHeight="1">
      <c r="A71" s="30"/>
      <c r="B71" s="1823"/>
      <c r="C71" s="811" t="s">
        <v>81</v>
      </c>
      <c r="D71" s="923">
        <v>201792047074</v>
      </c>
      <c r="E71" s="645">
        <f t="shared" ref="E71:E80" si="13">D71/$D$80*100</f>
        <v>51.41090498740769</v>
      </c>
      <c r="F71" s="923">
        <v>217394066265</v>
      </c>
      <c r="G71" s="645">
        <f t="shared" ref="G71:G80" si="14">F71/$F$80*100</f>
        <v>52.730897073601803</v>
      </c>
      <c r="H71" s="1654">
        <f t="shared" si="10"/>
        <v>107.7</v>
      </c>
      <c r="I71" s="28"/>
      <c r="J71" s="1530" t="s">
        <v>1069</v>
      </c>
      <c r="K71" s="30"/>
      <c r="L71" s="31"/>
      <c r="M71" s="31"/>
    </row>
    <row r="72" spans="1:13" s="32" customFormat="1" ht="18" customHeight="1">
      <c r="A72" s="30"/>
      <c r="B72" s="1823"/>
      <c r="C72" s="811" t="s">
        <v>65</v>
      </c>
      <c r="D72" s="923">
        <v>82116245001</v>
      </c>
      <c r="E72" s="645">
        <f t="shared" si="13"/>
        <v>20.920896194293309</v>
      </c>
      <c r="F72" s="923">
        <v>82884070236</v>
      </c>
      <c r="G72" s="645">
        <f t="shared" si="14"/>
        <v>20.104280911366107</v>
      </c>
      <c r="H72" s="1654">
        <f t="shared" si="10"/>
        <v>100.9</v>
      </c>
      <c r="I72" s="28"/>
      <c r="J72" s="1530" t="s">
        <v>737</v>
      </c>
      <c r="K72" s="30"/>
      <c r="L72" s="31"/>
      <c r="M72" s="31"/>
    </row>
    <row r="73" spans="1:13" s="32" customFormat="1" ht="18" customHeight="1">
      <c r="A73" s="30"/>
      <c r="B73" s="1823"/>
      <c r="C73" s="811" t="s">
        <v>66</v>
      </c>
      <c r="D73" s="923">
        <v>32455023816</v>
      </c>
      <c r="E73" s="645">
        <f t="shared" si="13"/>
        <v>8.2686219301623503</v>
      </c>
      <c r="F73" s="923">
        <v>33703752395</v>
      </c>
      <c r="G73" s="645">
        <f t="shared" si="14"/>
        <v>8.1751499894596478</v>
      </c>
      <c r="H73" s="1654">
        <f t="shared" si="10"/>
        <v>103.8</v>
      </c>
      <c r="I73" s="28"/>
      <c r="J73" s="1530" t="s">
        <v>738</v>
      </c>
      <c r="K73" s="30"/>
      <c r="L73" s="31"/>
      <c r="M73" s="31"/>
    </row>
    <row r="74" spans="1:13" s="32" customFormat="1" ht="18" customHeight="1">
      <c r="A74" s="30"/>
      <c r="B74" s="1823"/>
      <c r="C74" s="811" t="s">
        <v>67</v>
      </c>
      <c r="D74" s="923">
        <v>40674882458</v>
      </c>
      <c r="E74" s="645">
        <f t="shared" si="13"/>
        <v>10.362809376007597</v>
      </c>
      <c r="F74" s="923">
        <v>41522458491</v>
      </c>
      <c r="G74" s="645">
        <f t="shared" si="14"/>
        <v>10.071647872223142</v>
      </c>
      <c r="H74" s="1654">
        <f t="shared" si="10"/>
        <v>102.1</v>
      </c>
      <c r="I74" s="28"/>
      <c r="J74" s="1530" t="s">
        <v>743</v>
      </c>
      <c r="K74" s="30"/>
      <c r="L74" s="31"/>
      <c r="M74" s="31"/>
    </row>
    <row r="75" spans="1:13" s="32" customFormat="1" ht="18" customHeight="1">
      <c r="A75" s="30"/>
      <c r="B75" s="1823"/>
      <c r="C75" s="811" t="s">
        <v>91</v>
      </c>
      <c r="D75" s="923">
        <v>5630928000</v>
      </c>
      <c r="E75" s="645">
        <f t="shared" si="13"/>
        <v>1.4346011579572961</v>
      </c>
      <c r="F75" s="923">
        <v>5739471000</v>
      </c>
      <c r="G75" s="645">
        <f t="shared" si="14"/>
        <v>1.3921606038179526</v>
      </c>
      <c r="H75" s="1654">
        <f t="shared" si="10"/>
        <v>101.9</v>
      </c>
      <c r="I75" s="28"/>
      <c r="J75" s="1530" t="s">
        <v>746</v>
      </c>
      <c r="K75" s="30"/>
      <c r="L75" s="31"/>
      <c r="M75" s="31"/>
    </row>
    <row r="76" spans="1:13" s="32" customFormat="1" ht="18" customHeight="1">
      <c r="A76" s="30"/>
      <c r="B76" s="1823"/>
      <c r="C76" s="811" t="s">
        <v>83</v>
      </c>
      <c r="D76" s="923">
        <v>8494811938</v>
      </c>
      <c r="E76" s="645">
        <f t="shared" si="13"/>
        <v>2.1642377673598849</v>
      </c>
      <c r="F76" s="923">
        <v>9245220770</v>
      </c>
      <c r="G76" s="645">
        <f t="shared" si="14"/>
        <v>2.242511919581696</v>
      </c>
      <c r="H76" s="1654">
        <f t="shared" si="10"/>
        <v>108.8</v>
      </c>
      <c r="I76" s="28"/>
      <c r="J76" s="1530" t="s">
        <v>667</v>
      </c>
      <c r="K76" s="30"/>
      <c r="L76" s="31"/>
      <c r="M76" s="31"/>
    </row>
    <row r="77" spans="1:13" s="32" customFormat="1" ht="18" customHeight="1">
      <c r="A77" s="30"/>
      <c r="B77" s="1823"/>
      <c r="C77" s="811" t="s">
        <v>85</v>
      </c>
      <c r="D77" s="923">
        <v>489808000</v>
      </c>
      <c r="E77" s="645">
        <f t="shared" si="13"/>
        <v>0.12478922195004934</v>
      </c>
      <c r="F77" s="923">
        <v>574774200</v>
      </c>
      <c r="G77" s="645">
        <f t="shared" si="14"/>
        <v>0.13941668096780707</v>
      </c>
      <c r="H77" s="1654">
        <f t="shared" si="10"/>
        <v>117.3</v>
      </c>
      <c r="I77" s="28"/>
      <c r="J77" s="1530" t="s">
        <v>646</v>
      </c>
      <c r="K77" s="30"/>
      <c r="L77" s="31"/>
      <c r="M77" s="31"/>
    </row>
    <row r="78" spans="1:13" s="32" customFormat="1" ht="18" customHeight="1">
      <c r="A78" s="30"/>
      <c r="B78" s="1823"/>
      <c r="C78" s="811" t="s">
        <v>92</v>
      </c>
      <c r="D78" s="923">
        <v>255661131</v>
      </c>
      <c r="E78" s="645">
        <f t="shared" si="13"/>
        <v>6.5135223639384482E-2</v>
      </c>
      <c r="F78" s="923">
        <v>263236535</v>
      </c>
      <c r="G78" s="645">
        <f t="shared" si="14"/>
        <v>6.3850402504437367E-2</v>
      </c>
      <c r="H78" s="1654">
        <f t="shared" si="10"/>
        <v>103</v>
      </c>
      <c r="I78" s="28"/>
      <c r="J78" s="1530" t="s">
        <v>645</v>
      </c>
      <c r="K78" s="30"/>
      <c r="L78" s="31"/>
      <c r="M78" s="31"/>
    </row>
    <row r="79" spans="1:13" s="32" customFormat="1" ht="18" customHeight="1">
      <c r="A79" s="30"/>
      <c r="B79" s="1823"/>
      <c r="C79" s="811" t="s">
        <v>73</v>
      </c>
      <c r="D79" s="923">
        <f>D$80-SUM(D70:D78)</f>
        <v>6524648401</v>
      </c>
      <c r="E79" s="645">
        <f t="shared" si="13"/>
        <v>1.6622958331803959</v>
      </c>
      <c r="F79" s="923">
        <f>F$80-SUM(F70:F78)</f>
        <v>5998512812</v>
      </c>
      <c r="G79" s="645">
        <f t="shared" si="14"/>
        <v>1.4549935383180164</v>
      </c>
      <c r="H79" s="1654">
        <f t="shared" si="10"/>
        <v>91.9</v>
      </c>
      <c r="I79" s="28"/>
      <c r="J79" s="1530"/>
      <c r="K79" s="30"/>
      <c r="L79" s="31"/>
      <c r="M79" s="31"/>
    </row>
    <row r="80" spans="1:13" s="32" customFormat="1" ht="18" customHeight="1">
      <c r="A80" s="30"/>
      <c r="B80" s="1823"/>
      <c r="C80" s="809" t="s">
        <v>62</v>
      </c>
      <c r="D80" s="644">
        <v>392508257000</v>
      </c>
      <c r="E80" s="645">
        <f t="shared" si="13"/>
        <v>100</v>
      </c>
      <c r="F80" s="644">
        <v>412270752689</v>
      </c>
      <c r="G80" s="645">
        <f t="shared" si="14"/>
        <v>100</v>
      </c>
      <c r="H80" s="1654">
        <f t="shared" si="10"/>
        <v>105</v>
      </c>
      <c r="I80" s="28"/>
      <c r="J80" s="1530" t="s">
        <v>735</v>
      </c>
      <c r="K80" s="30"/>
      <c r="L80" s="31"/>
      <c r="M80" s="31"/>
    </row>
    <row r="81" spans="1:13" s="32" customFormat="1" ht="18" customHeight="1">
      <c r="A81" s="30"/>
      <c r="B81" s="1824" t="s">
        <v>74</v>
      </c>
      <c r="C81" s="1824"/>
      <c r="D81" s="644">
        <f>$D$69-$D$80</f>
        <v>68555302349</v>
      </c>
      <c r="E81" s="645" t="s">
        <v>433</v>
      </c>
      <c r="F81" s="644">
        <f>$F$69-$F$80</f>
        <v>55128762110</v>
      </c>
      <c r="G81" s="645" t="s">
        <v>433</v>
      </c>
      <c r="H81" s="1654">
        <f t="shared" si="10"/>
        <v>80.400000000000006</v>
      </c>
      <c r="I81" s="28"/>
      <c r="J81" s="28"/>
      <c r="K81" s="30"/>
      <c r="L81" s="31"/>
      <c r="M81" s="31"/>
    </row>
    <row r="82" spans="1:13" s="32" customFormat="1" ht="12.9" customHeight="1">
      <c r="A82" s="30"/>
      <c r="B82" s="26"/>
      <c r="C82" s="26"/>
      <c r="D82" s="27"/>
      <c r="E82" s="27"/>
      <c r="F82" s="29"/>
      <c r="G82" s="28"/>
      <c r="H82" s="28"/>
      <c r="I82" s="28"/>
      <c r="J82" s="28"/>
      <c r="K82" s="30"/>
      <c r="L82" s="31"/>
      <c r="M82" s="31"/>
    </row>
    <row r="83" spans="1:13" s="32" customFormat="1" ht="12.9" customHeight="1">
      <c r="A83" s="30"/>
      <c r="B83" s="26"/>
      <c r="C83" s="26"/>
      <c r="D83" s="27"/>
      <c r="E83" s="27"/>
      <c r="F83" s="29"/>
      <c r="G83" s="28"/>
      <c r="H83" s="28"/>
      <c r="I83" s="28"/>
      <c r="J83" s="28"/>
      <c r="K83" s="30"/>
      <c r="L83" s="31"/>
      <c r="M83" s="31"/>
    </row>
    <row r="84" spans="1:13" ht="13.2">
      <c r="A84" s="39" t="s">
        <v>107</v>
      </c>
      <c r="B84" s="40"/>
      <c r="J84" s="648"/>
    </row>
    <row r="85" spans="1:13" s="648" customFormat="1" ht="13.2">
      <c r="A85" s="35"/>
      <c r="B85" s="646" t="s">
        <v>555</v>
      </c>
      <c r="C85" s="646"/>
      <c r="D85" s="647"/>
      <c r="E85" s="647"/>
    </row>
    <row r="86" spans="1:13" s="648" customFormat="1" ht="13.2">
      <c r="B86" s="646"/>
      <c r="C86" s="646"/>
      <c r="D86" s="647"/>
      <c r="E86" s="647"/>
    </row>
    <row r="87" spans="1:13" s="648" customFormat="1" ht="18" customHeight="1">
      <c r="A87" s="35"/>
      <c r="B87" s="35" t="s">
        <v>556</v>
      </c>
      <c r="C87" s="35"/>
      <c r="D87" s="647"/>
      <c r="E87" s="647"/>
      <c r="F87" s="649"/>
      <c r="J87" s="33"/>
      <c r="K87" s="35"/>
      <c r="L87" s="37"/>
      <c r="M87" s="37"/>
    </row>
    <row r="88" spans="1:13" s="33" customFormat="1" ht="18" customHeight="1">
      <c r="B88" s="1818" t="s">
        <v>49</v>
      </c>
      <c r="C88" s="1818"/>
      <c r="D88" s="1818" t="str">
        <f>情報!$D$3</f>
        <v>令和2年度</v>
      </c>
      <c r="E88" s="1818"/>
      <c r="F88" s="1818" t="str">
        <f>情報!$D$2</f>
        <v>令和3年度</v>
      </c>
      <c r="G88" s="1818"/>
      <c r="H88" s="1818"/>
    </row>
    <row r="89" spans="1:13" s="33" customFormat="1" ht="36" customHeight="1">
      <c r="B89" s="1816" t="s">
        <v>50</v>
      </c>
      <c r="C89" s="1817"/>
      <c r="D89" s="924" t="s">
        <v>51</v>
      </c>
      <c r="E89" s="924" t="s">
        <v>93</v>
      </c>
      <c r="F89" s="924" t="s">
        <v>51</v>
      </c>
      <c r="G89" s="924" t="s">
        <v>93</v>
      </c>
      <c r="H89" s="810" t="s">
        <v>434</v>
      </c>
      <c r="J89" s="1530"/>
    </row>
    <row r="90" spans="1:13" s="33" customFormat="1" ht="18" customHeight="1">
      <c r="B90" s="1824" t="s">
        <v>94</v>
      </c>
      <c r="C90" s="1824"/>
      <c r="D90" s="644">
        <v>26681362151</v>
      </c>
      <c r="E90" s="1629">
        <v>62</v>
      </c>
      <c r="F90" s="644">
        <v>26675481099</v>
      </c>
      <c r="G90" s="1629">
        <v>62</v>
      </c>
      <c r="H90" s="1654">
        <f t="shared" ref="H90:H92" si="15">IF(ISERROR(F90/D90*100),"-",ROUND(F90/D90*100,1))</f>
        <v>100</v>
      </c>
      <c r="J90" s="1530" t="s">
        <v>1071</v>
      </c>
      <c r="K90" s="1530" t="s">
        <v>1070</v>
      </c>
    </row>
    <row r="91" spans="1:13" s="33" customFormat="1" ht="18" customHeight="1">
      <c r="B91" s="1824" t="s">
        <v>96</v>
      </c>
      <c r="C91" s="1824"/>
      <c r="D91" s="644">
        <v>0</v>
      </c>
      <c r="E91" s="1629">
        <v>0</v>
      </c>
      <c r="F91" s="644">
        <v>0</v>
      </c>
      <c r="G91" s="1629">
        <v>0</v>
      </c>
      <c r="H91" s="1654" t="str">
        <f t="shared" si="15"/>
        <v>-</v>
      </c>
      <c r="J91" s="1530" t="s">
        <v>1072</v>
      </c>
      <c r="K91" s="1530" t="s">
        <v>1073</v>
      </c>
    </row>
    <row r="92" spans="1:13" s="33" customFormat="1" ht="18" customHeight="1">
      <c r="B92" s="1824" t="s">
        <v>97</v>
      </c>
      <c r="C92" s="1824"/>
      <c r="D92" s="860">
        <f>$D$90-$D$91</f>
        <v>26681362151</v>
      </c>
      <c r="E92" s="1655" t="s">
        <v>95</v>
      </c>
      <c r="F92" s="650">
        <f>$F$90-$F$91</f>
        <v>26675481099</v>
      </c>
      <c r="G92" s="1655" t="s">
        <v>95</v>
      </c>
      <c r="H92" s="1654">
        <f t="shared" si="15"/>
        <v>100</v>
      </c>
      <c r="J92" s="28"/>
    </row>
    <row r="93" spans="1:13" ht="13.2">
      <c r="J93" s="648"/>
    </row>
    <row r="94" spans="1:13" s="648" customFormat="1" ht="18" customHeight="1">
      <c r="A94" s="35"/>
      <c r="B94" s="35" t="s">
        <v>557</v>
      </c>
      <c r="C94" s="35"/>
      <c r="D94" s="647"/>
      <c r="E94" s="647"/>
      <c r="F94" s="649"/>
      <c r="J94" s="33"/>
      <c r="K94" s="35"/>
      <c r="L94" s="37"/>
      <c r="M94" s="37"/>
    </row>
    <row r="95" spans="1:13" s="33" customFormat="1" ht="18" customHeight="1">
      <c r="B95" s="1818" t="s">
        <v>49</v>
      </c>
      <c r="C95" s="1818"/>
      <c r="D95" s="1818" t="str">
        <f>情報!$D$3</f>
        <v>令和2年度</v>
      </c>
      <c r="E95" s="1818"/>
      <c r="F95" s="1818" t="str">
        <f>情報!$D$2</f>
        <v>令和3年度</v>
      </c>
      <c r="G95" s="1818"/>
      <c r="H95" s="1818"/>
    </row>
    <row r="96" spans="1:13" s="33" customFormat="1" ht="36" customHeight="1">
      <c r="B96" s="1816" t="s">
        <v>50</v>
      </c>
      <c r="C96" s="1817"/>
      <c r="D96" s="924" t="s">
        <v>51</v>
      </c>
      <c r="E96" s="924" t="s">
        <v>93</v>
      </c>
      <c r="F96" s="924" t="s">
        <v>51</v>
      </c>
      <c r="G96" s="924" t="s">
        <v>93</v>
      </c>
      <c r="H96" s="810" t="s">
        <v>434</v>
      </c>
      <c r="J96" s="1530"/>
    </row>
    <row r="97" spans="2:11" s="33" customFormat="1" ht="18" customHeight="1">
      <c r="B97" s="1824" t="s">
        <v>94</v>
      </c>
      <c r="C97" s="1824"/>
      <c r="D97" s="644">
        <v>68555302349</v>
      </c>
      <c r="E97" s="1629">
        <v>22</v>
      </c>
      <c r="F97" s="644">
        <v>55128762110</v>
      </c>
      <c r="G97" s="1629">
        <v>22</v>
      </c>
      <c r="H97" s="1654">
        <f t="shared" ref="H97:H99" si="16">IF(ISERROR(F97/D97*100),"-",ROUND(F97/D97*100,1))</f>
        <v>80.400000000000006</v>
      </c>
      <c r="J97" s="1530" t="s">
        <v>1071</v>
      </c>
      <c r="K97" s="1530" t="s">
        <v>1070</v>
      </c>
    </row>
    <row r="98" spans="2:11" s="33" customFormat="1" ht="18" customHeight="1">
      <c r="B98" s="1824" t="s">
        <v>96</v>
      </c>
      <c r="C98" s="1824"/>
      <c r="D98" s="644">
        <v>0</v>
      </c>
      <c r="E98" s="1629">
        <v>0</v>
      </c>
      <c r="F98" s="644">
        <v>0</v>
      </c>
      <c r="G98" s="1629">
        <v>0</v>
      </c>
      <c r="H98" s="1654" t="str">
        <f t="shared" si="16"/>
        <v>-</v>
      </c>
      <c r="J98" s="1530" t="s">
        <v>1072</v>
      </c>
      <c r="K98" s="1530" t="s">
        <v>1073</v>
      </c>
    </row>
    <row r="99" spans="2:11" s="33" customFormat="1" ht="18" customHeight="1">
      <c r="B99" s="1824" t="s">
        <v>97</v>
      </c>
      <c r="C99" s="1824"/>
      <c r="D99" s="860">
        <f>$D$97-$D$98</f>
        <v>68555302349</v>
      </c>
      <c r="E99" s="1655" t="s">
        <v>95</v>
      </c>
      <c r="F99" s="650">
        <f>$F$97-$F$98</f>
        <v>55128762110</v>
      </c>
      <c r="G99" s="1655" t="s">
        <v>95</v>
      </c>
      <c r="H99" s="1654">
        <f t="shared" si="16"/>
        <v>80.400000000000006</v>
      </c>
      <c r="J99" s="28"/>
    </row>
  </sheetData>
  <sheetProtection selectLockedCells="1" selectUnlockedCells="1"/>
  <mergeCells count="35">
    <mergeCell ref="B98:C98"/>
    <mergeCell ref="B99:C99"/>
    <mergeCell ref="B95:C95"/>
    <mergeCell ref="D95:E95"/>
    <mergeCell ref="F95:H95"/>
    <mergeCell ref="B96:C96"/>
    <mergeCell ref="B97:C97"/>
    <mergeCell ref="B91:C91"/>
    <mergeCell ref="B92:C92"/>
    <mergeCell ref="B56:C56"/>
    <mergeCell ref="F88:H88"/>
    <mergeCell ref="B88:C88"/>
    <mergeCell ref="B89:C89"/>
    <mergeCell ref="B90:C90"/>
    <mergeCell ref="B60:C60"/>
    <mergeCell ref="B61:B69"/>
    <mergeCell ref="B70:B80"/>
    <mergeCell ref="B81:C81"/>
    <mergeCell ref="D88:E88"/>
    <mergeCell ref="B7:C7"/>
    <mergeCell ref="D7:E7"/>
    <mergeCell ref="F7:H7"/>
    <mergeCell ref="B8:C8"/>
    <mergeCell ref="B59:C59"/>
    <mergeCell ref="D59:E59"/>
    <mergeCell ref="F59:H59"/>
    <mergeCell ref="B9:B18"/>
    <mergeCell ref="B19:B30"/>
    <mergeCell ref="B31:C31"/>
    <mergeCell ref="B34:C34"/>
    <mergeCell ref="D34:E34"/>
    <mergeCell ref="F34:H34"/>
    <mergeCell ref="B35:C35"/>
    <mergeCell ref="B36:B45"/>
    <mergeCell ref="B46:B55"/>
  </mergeCells>
  <phoneticPr fontId="27"/>
  <pageMargins left="0.78740157480314965" right="0.39370078740157483" top="0.78740157480314965" bottom="0.59055118110236227" header="0.51181102362204722" footer="0.39370078740157483"/>
  <pageSetup paperSize="9" scale="80" firstPageNumber="18" fitToHeight="0" orientation="portrait" useFirstPageNumber="1" r:id="rId1"/>
  <headerFooter alignWithMargins="0"/>
  <rowBreaks count="1" manualBreakCount="1">
    <brk id="56" max="7" man="1"/>
  </rowBreaks>
  <colBreaks count="1" manualBreakCount="1">
    <brk id="8" max="8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AV177"/>
  <sheetViews>
    <sheetView view="pageBreakPreview" zoomScaleNormal="100" zoomScaleSheetLayoutView="100" workbookViewId="0"/>
  </sheetViews>
  <sheetFormatPr defaultColWidth="8.77734375" defaultRowHeight="13.5" customHeight="1"/>
  <cols>
    <col min="1" max="1" width="7.6640625" style="516" customWidth="1" collapsed="1"/>
    <col min="2" max="7" width="7.6640625" style="244" customWidth="1" collapsed="1"/>
    <col min="8" max="8" width="11.109375" style="244" customWidth="1" collapsed="1"/>
    <col min="9" max="10" width="2" style="516" customWidth="1" collapsed="1"/>
    <col min="11" max="11" width="13.44140625" style="516" customWidth="1" collapsed="1"/>
    <col min="12" max="12" width="7.109375" style="516" customWidth="1" collapsed="1"/>
    <col min="13" max="13" width="8.77734375" style="244" collapsed="1"/>
    <col min="14" max="14" width="0" style="244" hidden="1" customWidth="1" collapsed="1"/>
    <col min="15" max="15" width="9.33203125" style="244" hidden="1" customWidth="1" collapsed="1"/>
    <col min="16" max="48" width="0" style="244" hidden="1" customWidth="1" collapsed="1"/>
    <col min="49" max="256" width="8.77734375" style="244" collapsed="1"/>
    <col min="257" max="263" width="7.6640625" style="244" customWidth="1" collapsed="1"/>
    <col min="264" max="264" width="11.109375" style="244" customWidth="1" collapsed="1"/>
    <col min="265" max="266" width="2" style="244" customWidth="1" collapsed="1"/>
    <col min="267" max="267" width="13.44140625" style="244" customWidth="1" collapsed="1"/>
    <col min="268" max="268" width="7.109375" style="244" customWidth="1" collapsed="1"/>
    <col min="269" max="512" width="8.77734375" style="244" collapsed="1"/>
    <col min="513" max="519" width="7.6640625" style="244" customWidth="1" collapsed="1"/>
    <col min="520" max="520" width="11.109375" style="244" customWidth="1" collapsed="1"/>
    <col min="521" max="522" width="2" style="244" customWidth="1" collapsed="1"/>
    <col min="523" max="523" width="13.44140625" style="244" customWidth="1" collapsed="1"/>
    <col min="524" max="524" width="7.109375" style="244" customWidth="1" collapsed="1"/>
    <col min="525" max="768" width="8.77734375" style="244" collapsed="1"/>
    <col min="769" max="775" width="7.6640625" style="244" customWidth="1" collapsed="1"/>
    <col min="776" max="776" width="11.109375" style="244" customWidth="1" collapsed="1"/>
    <col min="777" max="778" width="2" style="244" customWidth="1" collapsed="1"/>
    <col min="779" max="779" width="13.44140625" style="244" customWidth="1" collapsed="1"/>
    <col min="780" max="780" width="7.109375" style="244" customWidth="1" collapsed="1"/>
    <col min="781" max="1024" width="8.77734375" style="244" collapsed="1"/>
    <col min="1025" max="1031" width="7.6640625" style="244" customWidth="1" collapsed="1"/>
    <col min="1032" max="1032" width="11.109375" style="244" customWidth="1" collapsed="1"/>
    <col min="1033" max="1034" width="2" style="244" customWidth="1" collapsed="1"/>
    <col min="1035" max="1035" width="13.44140625" style="244" customWidth="1" collapsed="1"/>
    <col min="1036" max="1036" width="7.109375" style="244" customWidth="1" collapsed="1"/>
    <col min="1037" max="1280" width="8.77734375" style="244" collapsed="1"/>
    <col min="1281" max="1287" width="7.6640625" style="244" customWidth="1" collapsed="1"/>
    <col min="1288" max="1288" width="11.109375" style="244" customWidth="1" collapsed="1"/>
    <col min="1289" max="1290" width="2" style="244" customWidth="1" collapsed="1"/>
    <col min="1291" max="1291" width="13.44140625" style="244" customWidth="1" collapsed="1"/>
    <col min="1292" max="1292" width="7.109375" style="244" customWidth="1" collapsed="1"/>
    <col min="1293" max="1536" width="8.77734375" style="244" collapsed="1"/>
    <col min="1537" max="1543" width="7.6640625" style="244" customWidth="1" collapsed="1"/>
    <col min="1544" max="1544" width="11.109375" style="244" customWidth="1" collapsed="1"/>
    <col min="1545" max="1546" width="2" style="244" customWidth="1" collapsed="1"/>
    <col min="1547" max="1547" width="13.44140625" style="244" customWidth="1" collapsed="1"/>
    <col min="1548" max="1548" width="7.109375" style="244" customWidth="1" collapsed="1"/>
    <col min="1549" max="1792" width="8.77734375" style="244" collapsed="1"/>
    <col min="1793" max="1799" width="7.6640625" style="244" customWidth="1" collapsed="1"/>
    <col min="1800" max="1800" width="11.109375" style="244" customWidth="1" collapsed="1"/>
    <col min="1801" max="1802" width="2" style="244" customWidth="1" collapsed="1"/>
    <col min="1803" max="1803" width="13.44140625" style="244" customWidth="1" collapsed="1"/>
    <col min="1804" max="1804" width="7.109375" style="244" customWidth="1" collapsed="1"/>
    <col min="1805" max="2048" width="8.77734375" style="244" collapsed="1"/>
    <col min="2049" max="2055" width="7.6640625" style="244" customWidth="1" collapsed="1"/>
    <col min="2056" max="2056" width="11.109375" style="244" customWidth="1" collapsed="1"/>
    <col min="2057" max="2058" width="2" style="244" customWidth="1" collapsed="1"/>
    <col min="2059" max="2059" width="13.44140625" style="244" customWidth="1" collapsed="1"/>
    <col min="2060" max="2060" width="7.109375" style="244" customWidth="1" collapsed="1"/>
    <col min="2061" max="2304" width="8.77734375" style="244" collapsed="1"/>
    <col min="2305" max="2311" width="7.6640625" style="244" customWidth="1" collapsed="1"/>
    <col min="2312" max="2312" width="11.109375" style="244" customWidth="1" collapsed="1"/>
    <col min="2313" max="2314" width="2" style="244" customWidth="1" collapsed="1"/>
    <col min="2315" max="2315" width="13.44140625" style="244" customWidth="1" collapsed="1"/>
    <col min="2316" max="2316" width="7.109375" style="244" customWidth="1" collapsed="1"/>
    <col min="2317" max="2560" width="8.77734375" style="244" collapsed="1"/>
    <col min="2561" max="2567" width="7.6640625" style="244" customWidth="1" collapsed="1"/>
    <col min="2568" max="2568" width="11.109375" style="244" customWidth="1" collapsed="1"/>
    <col min="2569" max="2570" width="2" style="244" customWidth="1" collapsed="1"/>
    <col min="2571" max="2571" width="13.44140625" style="244" customWidth="1" collapsed="1"/>
    <col min="2572" max="2572" width="7.109375" style="244" customWidth="1" collapsed="1"/>
    <col min="2573" max="2816" width="8.77734375" style="244" collapsed="1"/>
    <col min="2817" max="2823" width="7.6640625" style="244" customWidth="1" collapsed="1"/>
    <col min="2824" max="2824" width="11.109375" style="244" customWidth="1" collapsed="1"/>
    <col min="2825" max="2826" width="2" style="244" customWidth="1" collapsed="1"/>
    <col min="2827" max="2827" width="13.44140625" style="244" customWidth="1" collapsed="1"/>
    <col min="2828" max="2828" width="7.109375" style="244" customWidth="1" collapsed="1"/>
    <col min="2829" max="3072" width="8.77734375" style="244" collapsed="1"/>
    <col min="3073" max="3079" width="7.6640625" style="244" customWidth="1" collapsed="1"/>
    <col min="3080" max="3080" width="11.109375" style="244" customWidth="1" collapsed="1"/>
    <col min="3081" max="3082" width="2" style="244" customWidth="1" collapsed="1"/>
    <col min="3083" max="3083" width="13.44140625" style="244" customWidth="1" collapsed="1"/>
    <col min="3084" max="3084" width="7.109375" style="244" customWidth="1" collapsed="1"/>
    <col min="3085" max="3328" width="8.77734375" style="244" collapsed="1"/>
    <col min="3329" max="3335" width="7.6640625" style="244" customWidth="1" collapsed="1"/>
    <col min="3336" max="3336" width="11.109375" style="244" customWidth="1" collapsed="1"/>
    <col min="3337" max="3338" width="2" style="244" customWidth="1" collapsed="1"/>
    <col min="3339" max="3339" width="13.44140625" style="244" customWidth="1" collapsed="1"/>
    <col min="3340" max="3340" width="7.109375" style="244" customWidth="1" collapsed="1"/>
    <col min="3341" max="3584" width="8.77734375" style="244" collapsed="1"/>
    <col min="3585" max="3591" width="7.6640625" style="244" customWidth="1" collapsed="1"/>
    <col min="3592" max="3592" width="11.109375" style="244" customWidth="1" collapsed="1"/>
    <col min="3593" max="3594" width="2" style="244" customWidth="1" collapsed="1"/>
    <col min="3595" max="3595" width="13.44140625" style="244" customWidth="1" collapsed="1"/>
    <col min="3596" max="3596" width="7.109375" style="244" customWidth="1" collapsed="1"/>
    <col min="3597" max="3840" width="8.77734375" style="244" collapsed="1"/>
    <col min="3841" max="3847" width="7.6640625" style="244" customWidth="1" collapsed="1"/>
    <col min="3848" max="3848" width="11.109375" style="244" customWidth="1" collapsed="1"/>
    <col min="3849" max="3850" width="2" style="244" customWidth="1" collapsed="1"/>
    <col min="3851" max="3851" width="13.44140625" style="244" customWidth="1" collapsed="1"/>
    <col min="3852" max="3852" width="7.109375" style="244" customWidth="1" collapsed="1"/>
    <col min="3853" max="4096" width="8.77734375" style="244" collapsed="1"/>
    <col min="4097" max="4103" width="7.6640625" style="244" customWidth="1" collapsed="1"/>
    <col min="4104" max="4104" width="11.109375" style="244" customWidth="1" collapsed="1"/>
    <col min="4105" max="4106" width="2" style="244" customWidth="1" collapsed="1"/>
    <col min="4107" max="4107" width="13.44140625" style="244" customWidth="1" collapsed="1"/>
    <col min="4108" max="4108" width="7.109375" style="244" customWidth="1" collapsed="1"/>
    <col min="4109" max="4352" width="8.77734375" style="244" collapsed="1"/>
    <col min="4353" max="4359" width="7.6640625" style="244" customWidth="1" collapsed="1"/>
    <col min="4360" max="4360" width="11.109375" style="244" customWidth="1" collapsed="1"/>
    <col min="4361" max="4362" width="2" style="244" customWidth="1" collapsed="1"/>
    <col min="4363" max="4363" width="13.44140625" style="244" customWidth="1" collapsed="1"/>
    <col min="4364" max="4364" width="7.109375" style="244" customWidth="1" collapsed="1"/>
    <col min="4365" max="4608" width="8.77734375" style="244" collapsed="1"/>
    <col min="4609" max="4615" width="7.6640625" style="244" customWidth="1" collapsed="1"/>
    <col min="4616" max="4616" width="11.109375" style="244" customWidth="1" collapsed="1"/>
    <col min="4617" max="4618" width="2" style="244" customWidth="1" collapsed="1"/>
    <col min="4619" max="4619" width="13.44140625" style="244" customWidth="1" collapsed="1"/>
    <col min="4620" max="4620" width="7.109375" style="244" customWidth="1" collapsed="1"/>
    <col min="4621" max="4864" width="8.77734375" style="244" collapsed="1"/>
    <col min="4865" max="4871" width="7.6640625" style="244" customWidth="1" collapsed="1"/>
    <col min="4872" max="4872" width="11.109375" style="244" customWidth="1" collapsed="1"/>
    <col min="4873" max="4874" width="2" style="244" customWidth="1" collapsed="1"/>
    <col min="4875" max="4875" width="13.44140625" style="244" customWidth="1" collapsed="1"/>
    <col min="4876" max="4876" width="7.109375" style="244" customWidth="1" collapsed="1"/>
    <col min="4877" max="5120" width="8.77734375" style="244" collapsed="1"/>
    <col min="5121" max="5127" width="7.6640625" style="244" customWidth="1" collapsed="1"/>
    <col min="5128" max="5128" width="11.109375" style="244" customWidth="1" collapsed="1"/>
    <col min="5129" max="5130" width="2" style="244" customWidth="1" collapsed="1"/>
    <col min="5131" max="5131" width="13.44140625" style="244" customWidth="1" collapsed="1"/>
    <col min="5132" max="5132" width="7.109375" style="244" customWidth="1" collapsed="1"/>
    <col min="5133" max="5376" width="8.77734375" style="244" collapsed="1"/>
    <col min="5377" max="5383" width="7.6640625" style="244" customWidth="1" collapsed="1"/>
    <col min="5384" max="5384" width="11.109375" style="244" customWidth="1" collapsed="1"/>
    <col min="5385" max="5386" width="2" style="244" customWidth="1" collapsed="1"/>
    <col min="5387" max="5387" width="13.44140625" style="244" customWidth="1" collapsed="1"/>
    <col min="5388" max="5388" width="7.109375" style="244" customWidth="1" collapsed="1"/>
    <col min="5389" max="5632" width="8.77734375" style="244" collapsed="1"/>
    <col min="5633" max="5639" width="7.6640625" style="244" customWidth="1" collapsed="1"/>
    <col min="5640" max="5640" width="11.109375" style="244" customWidth="1" collapsed="1"/>
    <col min="5641" max="5642" width="2" style="244" customWidth="1" collapsed="1"/>
    <col min="5643" max="5643" width="13.44140625" style="244" customWidth="1" collapsed="1"/>
    <col min="5644" max="5644" width="7.109375" style="244" customWidth="1" collapsed="1"/>
    <col min="5645" max="5888" width="8.77734375" style="244" collapsed="1"/>
    <col min="5889" max="5895" width="7.6640625" style="244" customWidth="1" collapsed="1"/>
    <col min="5896" max="5896" width="11.109375" style="244" customWidth="1" collapsed="1"/>
    <col min="5897" max="5898" width="2" style="244" customWidth="1" collapsed="1"/>
    <col min="5899" max="5899" width="13.44140625" style="244" customWidth="1" collapsed="1"/>
    <col min="5900" max="5900" width="7.109375" style="244" customWidth="1" collapsed="1"/>
    <col min="5901" max="6144" width="8.77734375" style="244" collapsed="1"/>
    <col min="6145" max="6151" width="7.6640625" style="244" customWidth="1" collapsed="1"/>
    <col min="6152" max="6152" width="11.109375" style="244" customWidth="1" collapsed="1"/>
    <col min="6153" max="6154" width="2" style="244" customWidth="1" collapsed="1"/>
    <col min="6155" max="6155" width="13.44140625" style="244" customWidth="1" collapsed="1"/>
    <col min="6156" max="6156" width="7.109375" style="244" customWidth="1" collapsed="1"/>
    <col min="6157" max="6400" width="8.77734375" style="244" collapsed="1"/>
    <col min="6401" max="6407" width="7.6640625" style="244" customWidth="1" collapsed="1"/>
    <col min="6408" max="6408" width="11.109375" style="244" customWidth="1" collapsed="1"/>
    <col min="6409" max="6410" width="2" style="244" customWidth="1" collapsed="1"/>
    <col min="6411" max="6411" width="13.44140625" style="244" customWidth="1" collapsed="1"/>
    <col min="6412" max="6412" width="7.109375" style="244" customWidth="1" collapsed="1"/>
    <col min="6413" max="6656" width="8.77734375" style="244" collapsed="1"/>
    <col min="6657" max="6663" width="7.6640625" style="244" customWidth="1" collapsed="1"/>
    <col min="6664" max="6664" width="11.109375" style="244" customWidth="1" collapsed="1"/>
    <col min="6665" max="6666" width="2" style="244" customWidth="1" collapsed="1"/>
    <col min="6667" max="6667" width="13.44140625" style="244" customWidth="1" collapsed="1"/>
    <col min="6668" max="6668" width="7.109375" style="244" customWidth="1" collapsed="1"/>
    <col min="6669" max="6912" width="8.77734375" style="244" collapsed="1"/>
    <col min="6913" max="6919" width="7.6640625" style="244" customWidth="1" collapsed="1"/>
    <col min="6920" max="6920" width="11.109375" style="244" customWidth="1" collapsed="1"/>
    <col min="6921" max="6922" width="2" style="244" customWidth="1" collapsed="1"/>
    <col min="6923" max="6923" width="13.44140625" style="244" customWidth="1" collapsed="1"/>
    <col min="6924" max="6924" width="7.109375" style="244" customWidth="1" collapsed="1"/>
    <col min="6925" max="7168" width="8.77734375" style="244" collapsed="1"/>
    <col min="7169" max="7175" width="7.6640625" style="244" customWidth="1" collapsed="1"/>
    <col min="7176" max="7176" width="11.109375" style="244" customWidth="1" collapsed="1"/>
    <col min="7177" max="7178" width="2" style="244" customWidth="1" collapsed="1"/>
    <col min="7179" max="7179" width="13.44140625" style="244" customWidth="1" collapsed="1"/>
    <col min="7180" max="7180" width="7.109375" style="244" customWidth="1" collapsed="1"/>
    <col min="7181" max="7424" width="8.77734375" style="244" collapsed="1"/>
    <col min="7425" max="7431" width="7.6640625" style="244" customWidth="1" collapsed="1"/>
    <col min="7432" max="7432" width="11.109375" style="244" customWidth="1" collapsed="1"/>
    <col min="7433" max="7434" width="2" style="244" customWidth="1" collapsed="1"/>
    <col min="7435" max="7435" width="13.44140625" style="244" customWidth="1" collapsed="1"/>
    <col min="7436" max="7436" width="7.109375" style="244" customWidth="1" collapsed="1"/>
    <col min="7437" max="7680" width="8.77734375" style="244" collapsed="1"/>
    <col min="7681" max="7687" width="7.6640625" style="244" customWidth="1" collapsed="1"/>
    <col min="7688" max="7688" width="11.109375" style="244" customWidth="1" collapsed="1"/>
    <col min="7689" max="7690" width="2" style="244" customWidth="1" collapsed="1"/>
    <col min="7691" max="7691" width="13.44140625" style="244" customWidth="1" collapsed="1"/>
    <col min="7692" max="7692" width="7.109375" style="244" customWidth="1" collapsed="1"/>
    <col min="7693" max="7936" width="8.77734375" style="244" collapsed="1"/>
    <col min="7937" max="7943" width="7.6640625" style="244" customWidth="1" collapsed="1"/>
    <col min="7944" max="7944" width="11.109375" style="244" customWidth="1" collapsed="1"/>
    <col min="7945" max="7946" width="2" style="244" customWidth="1" collapsed="1"/>
    <col min="7947" max="7947" width="13.44140625" style="244" customWidth="1" collapsed="1"/>
    <col min="7948" max="7948" width="7.109375" style="244" customWidth="1" collapsed="1"/>
    <col min="7949" max="8192" width="8.77734375" style="244" collapsed="1"/>
    <col min="8193" max="8199" width="7.6640625" style="244" customWidth="1" collapsed="1"/>
    <col min="8200" max="8200" width="11.109375" style="244" customWidth="1" collapsed="1"/>
    <col min="8201" max="8202" width="2" style="244" customWidth="1" collapsed="1"/>
    <col min="8203" max="8203" width="13.44140625" style="244" customWidth="1" collapsed="1"/>
    <col min="8204" max="8204" width="7.109375" style="244" customWidth="1" collapsed="1"/>
    <col min="8205" max="8448" width="8.77734375" style="244" collapsed="1"/>
    <col min="8449" max="8455" width="7.6640625" style="244" customWidth="1" collapsed="1"/>
    <col min="8456" max="8456" width="11.109375" style="244" customWidth="1" collapsed="1"/>
    <col min="8457" max="8458" width="2" style="244" customWidth="1" collapsed="1"/>
    <col min="8459" max="8459" width="13.44140625" style="244" customWidth="1" collapsed="1"/>
    <col min="8460" max="8460" width="7.109375" style="244" customWidth="1" collapsed="1"/>
    <col min="8461" max="8704" width="8.77734375" style="244" collapsed="1"/>
    <col min="8705" max="8711" width="7.6640625" style="244" customWidth="1" collapsed="1"/>
    <col min="8712" max="8712" width="11.109375" style="244" customWidth="1" collapsed="1"/>
    <col min="8713" max="8714" width="2" style="244" customWidth="1" collapsed="1"/>
    <col min="8715" max="8715" width="13.44140625" style="244" customWidth="1" collapsed="1"/>
    <col min="8716" max="8716" width="7.109375" style="244" customWidth="1" collapsed="1"/>
    <col min="8717" max="8960" width="8.77734375" style="244" collapsed="1"/>
    <col min="8961" max="8967" width="7.6640625" style="244" customWidth="1" collapsed="1"/>
    <col min="8968" max="8968" width="11.109375" style="244" customWidth="1" collapsed="1"/>
    <col min="8969" max="8970" width="2" style="244" customWidth="1" collapsed="1"/>
    <col min="8971" max="8971" width="13.44140625" style="244" customWidth="1" collapsed="1"/>
    <col min="8972" max="8972" width="7.109375" style="244" customWidth="1" collapsed="1"/>
    <col min="8973" max="9216" width="8.77734375" style="244" collapsed="1"/>
    <col min="9217" max="9223" width="7.6640625" style="244" customWidth="1" collapsed="1"/>
    <col min="9224" max="9224" width="11.109375" style="244" customWidth="1" collapsed="1"/>
    <col min="9225" max="9226" width="2" style="244" customWidth="1" collapsed="1"/>
    <col min="9227" max="9227" width="13.44140625" style="244" customWidth="1" collapsed="1"/>
    <col min="9228" max="9228" width="7.109375" style="244" customWidth="1" collapsed="1"/>
    <col min="9229" max="9472" width="8.77734375" style="244" collapsed="1"/>
    <col min="9473" max="9479" width="7.6640625" style="244" customWidth="1" collapsed="1"/>
    <col min="9480" max="9480" width="11.109375" style="244" customWidth="1" collapsed="1"/>
    <col min="9481" max="9482" width="2" style="244" customWidth="1" collapsed="1"/>
    <col min="9483" max="9483" width="13.44140625" style="244" customWidth="1" collapsed="1"/>
    <col min="9484" max="9484" width="7.109375" style="244" customWidth="1" collapsed="1"/>
    <col min="9485" max="9728" width="8.77734375" style="244" collapsed="1"/>
    <col min="9729" max="9735" width="7.6640625" style="244" customWidth="1" collapsed="1"/>
    <col min="9736" max="9736" width="11.109375" style="244" customWidth="1" collapsed="1"/>
    <col min="9737" max="9738" width="2" style="244" customWidth="1" collapsed="1"/>
    <col min="9739" max="9739" width="13.44140625" style="244" customWidth="1" collapsed="1"/>
    <col min="9740" max="9740" width="7.109375" style="244" customWidth="1" collapsed="1"/>
    <col min="9741" max="9984" width="8.77734375" style="244" collapsed="1"/>
    <col min="9985" max="9991" width="7.6640625" style="244" customWidth="1" collapsed="1"/>
    <col min="9992" max="9992" width="11.109375" style="244" customWidth="1" collapsed="1"/>
    <col min="9993" max="9994" width="2" style="244" customWidth="1" collapsed="1"/>
    <col min="9995" max="9995" width="13.44140625" style="244" customWidth="1" collapsed="1"/>
    <col min="9996" max="9996" width="7.109375" style="244" customWidth="1" collapsed="1"/>
    <col min="9997" max="10240" width="8.77734375" style="244" collapsed="1"/>
    <col min="10241" max="10247" width="7.6640625" style="244" customWidth="1" collapsed="1"/>
    <col min="10248" max="10248" width="11.109375" style="244" customWidth="1" collapsed="1"/>
    <col min="10249" max="10250" width="2" style="244" customWidth="1" collapsed="1"/>
    <col min="10251" max="10251" width="13.44140625" style="244" customWidth="1" collapsed="1"/>
    <col min="10252" max="10252" width="7.109375" style="244" customWidth="1" collapsed="1"/>
    <col min="10253" max="10496" width="8.77734375" style="244" collapsed="1"/>
    <col min="10497" max="10503" width="7.6640625" style="244" customWidth="1" collapsed="1"/>
    <col min="10504" max="10504" width="11.109375" style="244" customWidth="1" collapsed="1"/>
    <col min="10505" max="10506" width="2" style="244" customWidth="1" collapsed="1"/>
    <col min="10507" max="10507" width="13.44140625" style="244" customWidth="1" collapsed="1"/>
    <col min="10508" max="10508" width="7.109375" style="244" customWidth="1" collapsed="1"/>
    <col min="10509" max="10752" width="8.77734375" style="244" collapsed="1"/>
    <col min="10753" max="10759" width="7.6640625" style="244" customWidth="1" collapsed="1"/>
    <col min="10760" max="10760" width="11.109375" style="244" customWidth="1" collapsed="1"/>
    <col min="10761" max="10762" width="2" style="244" customWidth="1" collapsed="1"/>
    <col min="10763" max="10763" width="13.44140625" style="244" customWidth="1" collapsed="1"/>
    <col min="10764" max="10764" width="7.109375" style="244" customWidth="1" collapsed="1"/>
    <col min="10765" max="11008" width="8.77734375" style="244" collapsed="1"/>
    <col min="11009" max="11015" width="7.6640625" style="244" customWidth="1" collapsed="1"/>
    <col min="11016" max="11016" width="11.109375" style="244" customWidth="1" collapsed="1"/>
    <col min="11017" max="11018" width="2" style="244" customWidth="1" collapsed="1"/>
    <col min="11019" max="11019" width="13.44140625" style="244" customWidth="1" collapsed="1"/>
    <col min="11020" max="11020" width="7.109375" style="244" customWidth="1" collapsed="1"/>
    <col min="11021" max="11264" width="8.77734375" style="244" collapsed="1"/>
    <col min="11265" max="11271" width="7.6640625" style="244" customWidth="1" collapsed="1"/>
    <col min="11272" max="11272" width="11.109375" style="244" customWidth="1" collapsed="1"/>
    <col min="11273" max="11274" width="2" style="244" customWidth="1" collapsed="1"/>
    <col min="11275" max="11275" width="13.44140625" style="244" customWidth="1" collapsed="1"/>
    <col min="11276" max="11276" width="7.109375" style="244" customWidth="1" collapsed="1"/>
    <col min="11277" max="11520" width="8.77734375" style="244" collapsed="1"/>
    <col min="11521" max="11527" width="7.6640625" style="244" customWidth="1" collapsed="1"/>
    <col min="11528" max="11528" width="11.109375" style="244" customWidth="1" collapsed="1"/>
    <col min="11529" max="11530" width="2" style="244" customWidth="1" collapsed="1"/>
    <col min="11531" max="11531" width="13.44140625" style="244" customWidth="1" collapsed="1"/>
    <col min="11532" max="11532" width="7.109375" style="244" customWidth="1" collapsed="1"/>
    <col min="11533" max="11776" width="8.77734375" style="244" collapsed="1"/>
    <col min="11777" max="11783" width="7.6640625" style="244" customWidth="1" collapsed="1"/>
    <col min="11784" max="11784" width="11.109375" style="244" customWidth="1" collapsed="1"/>
    <col min="11785" max="11786" width="2" style="244" customWidth="1" collapsed="1"/>
    <col min="11787" max="11787" width="13.44140625" style="244" customWidth="1" collapsed="1"/>
    <col min="11788" max="11788" width="7.109375" style="244" customWidth="1" collapsed="1"/>
    <col min="11789" max="12032" width="8.77734375" style="244" collapsed="1"/>
    <col min="12033" max="12039" width="7.6640625" style="244" customWidth="1" collapsed="1"/>
    <col min="12040" max="12040" width="11.109375" style="244" customWidth="1" collapsed="1"/>
    <col min="12041" max="12042" width="2" style="244" customWidth="1" collapsed="1"/>
    <col min="12043" max="12043" width="13.44140625" style="244" customWidth="1" collapsed="1"/>
    <col min="12044" max="12044" width="7.109375" style="244" customWidth="1" collapsed="1"/>
    <col min="12045" max="12288" width="8.77734375" style="244" collapsed="1"/>
    <col min="12289" max="12295" width="7.6640625" style="244" customWidth="1" collapsed="1"/>
    <col min="12296" max="12296" width="11.109375" style="244" customWidth="1" collapsed="1"/>
    <col min="12297" max="12298" width="2" style="244" customWidth="1" collapsed="1"/>
    <col min="12299" max="12299" width="13.44140625" style="244" customWidth="1" collapsed="1"/>
    <col min="12300" max="12300" width="7.109375" style="244" customWidth="1" collapsed="1"/>
    <col min="12301" max="12544" width="8.77734375" style="244" collapsed="1"/>
    <col min="12545" max="12551" width="7.6640625" style="244" customWidth="1" collapsed="1"/>
    <col min="12552" max="12552" width="11.109375" style="244" customWidth="1" collapsed="1"/>
    <col min="12553" max="12554" width="2" style="244" customWidth="1" collapsed="1"/>
    <col min="12555" max="12555" width="13.44140625" style="244" customWidth="1" collapsed="1"/>
    <col min="12556" max="12556" width="7.109375" style="244" customWidth="1" collapsed="1"/>
    <col min="12557" max="12800" width="8.77734375" style="244" collapsed="1"/>
    <col min="12801" max="12807" width="7.6640625" style="244" customWidth="1" collapsed="1"/>
    <col min="12808" max="12808" width="11.109375" style="244" customWidth="1" collapsed="1"/>
    <col min="12809" max="12810" width="2" style="244" customWidth="1" collapsed="1"/>
    <col min="12811" max="12811" width="13.44140625" style="244" customWidth="1" collapsed="1"/>
    <col min="12812" max="12812" width="7.109375" style="244" customWidth="1" collapsed="1"/>
    <col min="12813" max="13056" width="8.77734375" style="244" collapsed="1"/>
    <col min="13057" max="13063" width="7.6640625" style="244" customWidth="1" collapsed="1"/>
    <col min="13064" max="13064" width="11.109375" style="244" customWidth="1" collapsed="1"/>
    <col min="13065" max="13066" width="2" style="244" customWidth="1" collapsed="1"/>
    <col min="13067" max="13067" width="13.44140625" style="244" customWidth="1" collapsed="1"/>
    <col min="13068" max="13068" width="7.109375" style="244" customWidth="1" collapsed="1"/>
    <col min="13069" max="13312" width="8.77734375" style="244" collapsed="1"/>
    <col min="13313" max="13319" width="7.6640625" style="244" customWidth="1" collapsed="1"/>
    <col min="13320" max="13320" width="11.109375" style="244" customWidth="1" collapsed="1"/>
    <col min="13321" max="13322" width="2" style="244" customWidth="1" collapsed="1"/>
    <col min="13323" max="13323" width="13.44140625" style="244" customWidth="1" collapsed="1"/>
    <col min="13324" max="13324" width="7.109375" style="244" customWidth="1" collapsed="1"/>
    <col min="13325" max="13568" width="8.77734375" style="244" collapsed="1"/>
    <col min="13569" max="13575" width="7.6640625" style="244" customWidth="1" collapsed="1"/>
    <col min="13576" max="13576" width="11.109375" style="244" customWidth="1" collapsed="1"/>
    <col min="13577" max="13578" width="2" style="244" customWidth="1" collapsed="1"/>
    <col min="13579" max="13579" width="13.44140625" style="244" customWidth="1" collapsed="1"/>
    <col min="13580" max="13580" width="7.109375" style="244" customWidth="1" collapsed="1"/>
    <col min="13581" max="13824" width="8.77734375" style="244" collapsed="1"/>
    <col min="13825" max="13831" width="7.6640625" style="244" customWidth="1" collapsed="1"/>
    <col min="13832" max="13832" width="11.109375" style="244" customWidth="1" collapsed="1"/>
    <col min="13833" max="13834" width="2" style="244" customWidth="1" collapsed="1"/>
    <col min="13835" max="13835" width="13.44140625" style="244" customWidth="1" collapsed="1"/>
    <col min="13836" max="13836" width="7.109375" style="244" customWidth="1" collapsed="1"/>
    <col min="13837" max="14080" width="8.77734375" style="244" collapsed="1"/>
    <col min="14081" max="14087" width="7.6640625" style="244" customWidth="1" collapsed="1"/>
    <col min="14088" max="14088" width="11.109375" style="244" customWidth="1" collapsed="1"/>
    <col min="14089" max="14090" width="2" style="244" customWidth="1" collapsed="1"/>
    <col min="14091" max="14091" width="13.44140625" style="244" customWidth="1" collapsed="1"/>
    <col min="14092" max="14092" width="7.109375" style="244" customWidth="1" collapsed="1"/>
    <col min="14093" max="14336" width="8.77734375" style="244" collapsed="1"/>
    <col min="14337" max="14343" width="7.6640625" style="244" customWidth="1" collapsed="1"/>
    <col min="14344" max="14344" width="11.109375" style="244" customWidth="1" collapsed="1"/>
    <col min="14345" max="14346" width="2" style="244" customWidth="1" collapsed="1"/>
    <col min="14347" max="14347" width="13.44140625" style="244" customWidth="1" collapsed="1"/>
    <col min="14348" max="14348" width="7.109375" style="244" customWidth="1" collapsed="1"/>
    <col min="14349" max="14592" width="8.77734375" style="244" collapsed="1"/>
    <col min="14593" max="14599" width="7.6640625" style="244" customWidth="1" collapsed="1"/>
    <col min="14600" max="14600" width="11.109375" style="244" customWidth="1" collapsed="1"/>
    <col min="14601" max="14602" width="2" style="244" customWidth="1" collapsed="1"/>
    <col min="14603" max="14603" width="13.44140625" style="244" customWidth="1" collapsed="1"/>
    <col min="14604" max="14604" width="7.109375" style="244" customWidth="1" collapsed="1"/>
    <col min="14605" max="14848" width="8.77734375" style="244" collapsed="1"/>
    <col min="14849" max="14855" width="7.6640625" style="244" customWidth="1" collapsed="1"/>
    <col min="14856" max="14856" width="11.109375" style="244" customWidth="1" collapsed="1"/>
    <col min="14857" max="14858" width="2" style="244" customWidth="1" collapsed="1"/>
    <col min="14859" max="14859" width="13.44140625" style="244" customWidth="1" collapsed="1"/>
    <col min="14860" max="14860" width="7.109375" style="244" customWidth="1" collapsed="1"/>
    <col min="14861" max="15104" width="8.77734375" style="244" collapsed="1"/>
    <col min="15105" max="15111" width="7.6640625" style="244" customWidth="1" collapsed="1"/>
    <col min="15112" max="15112" width="11.109375" style="244" customWidth="1" collapsed="1"/>
    <col min="15113" max="15114" width="2" style="244" customWidth="1" collapsed="1"/>
    <col min="15115" max="15115" width="13.44140625" style="244" customWidth="1" collapsed="1"/>
    <col min="15116" max="15116" width="7.109375" style="244" customWidth="1" collapsed="1"/>
    <col min="15117" max="15360" width="8.77734375" style="244" collapsed="1"/>
    <col min="15361" max="15367" width="7.6640625" style="244" customWidth="1" collapsed="1"/>
    <col min="15368" max="15368" width="11.109375" style="244" customWidth="1" collapsed="1"/>
    <col min="15369" max="15370" width="2" style="244" customWidth="1" collapsed="1"/>
    <col min="15371" max="15371" width="13.44140625" style="244" customWidth="1" collapsed="1"/>
    <col min="15372" max="15372" width="7.109375" style="244" customWidth="1" collapsed="1"/>
    <col min="15373" max="15616" width="8.77734375" style="244" collapsed="1"/>
    <col min="15617" max="15623" width="7.6640625" style="244" customWidth="1" collapsed="1"/>
    <col min="15624" max="15624" width="11.109375" style="244" customWidth="1" collapsed="1"/>
    <col min="15625" max="15626" width="2" style="244" customWidth="1" collapsed="1"/>
    <col min="15627" max="15627" width="13.44140625" style="244" customWidth="1" collapsed="1"/>
    <col min="15628" max="15628" width="7.109375" style="244" customWidth="1" collapsed="1"/>
    <col min="15629" max="15872" width="8.77734375" style="244" collapsed="1"/>
    <col min="15873" max="15879" width="7.6640625" style="244" customWidth="1" collapsed="1"/>
    <col min="15880" max="15880" width="11.109375" style="244" customWidth="1" collapsed="1"/>
    <col min="15881" max="15882" width="2" style="244" customWidth="1" collapsed="1"/>
    <col min="15883" max="15883" width="13.44140625" style="244" customWidth="1" collapsed="1"/>
    <col min="15884" max="15884" width="7.109375" style="244" customWidth="1" collapsed="1"/>
    <col min="15885" max="16128" width="8.77734375" style="244" collapsed="1"/>
    <col min="16129" max="16135" width="7.6640625" style="244" customWidth="1" collapsed="1"/>
    <col min="16136" max="16136" width="11.109375" style="244" customWidth="1" collapsed="1"/>
    <col min="16137" max="16138" width="2" style="244" customWidth="1" collapsed="1"/>
    <col min="16139" max="16139" width="13.44140625" style="244" customWidth="1" collapsed="1"/>
    <col min="16140" max="16140" width="7.109375" style="244" customWidth="1" collapsed="1"/>
    <col min="16141" max="16384" width="8.77734375" style="244" collapsed="1"/>
  </cols>
  <sheetData>
    <row r="1" spans="1:46" ht="15.75" customHeight="1">
      <c r="A1" s="648" t="s">
        <v>541</v>
      </c>
      <c r="C1" s="243"/>
      <c r="L1" s="812" t="str">
        <f>DBCS(情報!$D$2)</f>
        <v>令和３年度</v>
      </c>
      <c r="N1" s="1241" t="s">
        <v>264</v>
      </c>
      <c r="O1" s="246"/>
      <c r="P1" s="246"/>
      <c r="Q1" s="246"/>
    </row>
    <row r="2" spans="1:46" ht="13.5" customHeight="1">
      <c r="A2" s="534"/>
      <c r="B2" s="243"/>
      <c r="N2" s="1242" t="s">
        <v>265</v>
      </c>
      <c r="O2" s="246"/>
      <c r="P2" s="246"/>
      <c r="Q2" s="246"/>
      <c r="R2" s="246"/>
      <c r="S2" s="246"/>
      <c r="T2" s="246"/>
    </row>
    <row r="3" spans="1:46" ht="13.5" customHeight="1" thickBot="1">
      <c r="I3" s="1828" t="str">
        <f>AA5&amp;"("&amp;TEXT(AA9,"#,##0.00;-#,##0.00;#")&amp;"%)内訳"</f>
        <v>都道府県支出金(63.26%)内訳</v>
      </c>
      <c r="J3" s="1829"/>
      <c r="K3" s="1829"/>
      <c r="L3" s="1830"/>
      <c r="N3" s="244" t="str">
        <f>情報!D2&amp;"財政収支状況(特別区)"</f>
        <v>令和3年度財政収支状況(特別区)</v>
      </c>
    </row>
    <row r="4" spans="1:46" ht="19.5" customHeight="1" thickBot="1">
      <c r="I4" s="1831" t="s">
        <v>266</v>
      </c>
      <c r="J4" s="517" t="str">
        <f>T6</f>
        <v>普通交付金</v>
      </c>
      <c r="K4" s="518"/>
      <c r="L4" s="519" t="str">
        <f>TEXT(T9,"#,##0.00;-#,##0.00;0.00")&amp;"%"</f>
        <v>61.79%</v>
      </c>
      <c r="O4" s="1266" t="s">
        <v>614</v>
      </c>
      <c r="P4" s="1267" t="s">
        <v>615</v>
      </c>
      <c r="Q4" s="1267" t="s">
        <v>616</v>
      </c>
      <c r="R4" s="1267" t="s">
        <v>617</v>
      </c>
      <c r="S4" s="1267" t="s">
        <v>618</v>
      </c>
      <c r="T4" s="1268" t="s">
        <v>619</v>
      </c>
      <c r="U4" s="1268" t="s">
        <v>620</v>
      </c>
      <c r="V4" s="1268" t="s">
        <v>621</v>
      </c>
      <c r="W4" s="1268" t="s">
        <v>622</v>
      </c>
      <c r="X4" s="1268" t="s">
        <v>623</v>
      </c>
      <c r="Y4" s="1268" t="s">
        <v>624</v>
      </c>
      <c r="Z4" s="1268" t="s">
        <v>625</v>
      </c>
      <c r="AA4" s="1268" t="s">
        <v>626</v>
      </c>
      <c r="AB4" s="1267" t="s">
        <v>627</v>
      </c>
      <c r="AC4" s="1269" t="s">
        <v>628</v>
      </c>
      <c r="AD4" s="1269" t="s">
        <v>629</v>
      </c>
      <c r="AE4" s="1269" t="s">
        <v>630</v>
      </c>
      <c r="AF4" s="1269" t="s">
        <v>631</v>
      </c>
      <c r="AG4" s="1269" t="s">
        <v>632</v>
      </c>
      <c r="AH4" s="1269" t="s">
        <v>633</v>
      </c>
      <c r="AI4" s="1265" t="s">
        <v>670</v>
      </c>
      <c r="AJ4" s="1270" t="s">
        <v>634</v>
      </c>
      <c r="AK4" s="1270" t="s">
        <v>635</v>
      </c>
      <c r="AL4" s="1270" t="s">
        <v>636</v>
      </c>
      <c r="AM4" s="1270" t="s">
        <v>637</v>
      </c>
      <c r="AN4" s="1278" t="s">
        <v>671</v>
      </c>
    </row>
    <row r="5" spans="1:46" ht="19.5" customHeight="1" thickBot="1">
      <c r="I5" s="1832"/>
      <c r="J5" s="1831" t="s">
        <v>267</v>
      </c>
      <c r="K5" s="520" t="str">
        <f>U6</f>
        <v>保険者努力支援分</v>
      </c>
      <c r="L5" s="519" t="str">
        <f>TEXT(U9,"#,##0.00;-#,##0.00;0.00")&amp;"%"</f>
        <v>0.29%</v>
      </c>
      <c r="N5" s="247" t="s">
        <v>268</v>
      </c>
      <c r="O5" s="248" t="s">
        <v>138</v>
      </c>
      <c r="P5" s="249"/>
      <c r="Q5" s="249"/>
      <c r="R5" s="250" t="s">
        <v>269</v>
      </c>
      <c r="S5" s="251" t="s">
        <v>270</v>
      </c>
      <c r="T5" s="252" t="s">
        <v>271</v>
      </c>
      <c r="U5" s="253"/>
      <c r="V5" s="253"/>
      <c r="W5" s="253"/>
      <c r="X5" s="253"/>
      <c r="Y5" s="252"/>
      <c r="Z5" s="254"/>
      <c r="AA5" s="252" t="s">
        <v>271</v>
      </c>
      <c r="AB5" s="255" t="s">
        <v>272</v>
      </c>
      <c r="AC5" s="256" t="s">
        <v>273</v>
      </c>
      <c r="AD5" s="257"/>
      <c r="AE5" s="258"/>
      <c r="AF5" s="259"/>
      <c r="AG5" s="259"/>
      <c r="AH5" s="260"/>
      <c r="AI5" s="261" t="s">
        <v>274</v>
      </c>
      <c r="AJ5" s="262" t="s">
        <v>98</v>
      </c>
      <c r="AK5" s="263"/>
      <c r="AL5" s="263"/>
      <c r="AM5" s="263"/>
      <c r="AN5" s="262" t="s">
        <v>98</v>
      </c>
    </row>
    <row r="6" spans="1:46" ht="19.5" customHeight="1">
      <c r="I6" s="1832"/>
      <c r="J6" s="1832"/>
      <c r="K6" s="520" t="str">
        <f>V6</f>
        <v>特別調整交付金分</v>
      </c>
      <c r="L6" s="519" t="str">
        <f>TEXT(V9,"#,##0.00;-#,##0.00;0.00")&amp;"%"</f>
        <v>0.60%</v>
      </c>
      <c r="N6" s="264"/>
      <c r="O6" s="265" t="s">
        <v>275</v>
      </c>
      <c r="P6" s="266" t="s">
        <v>276</v>
      </c>
      <c r="Q6" s="266" t="s">
        <v>277</v>
      </c>
      <c r="R6" s="267"/>
      <c r="S6" s="268"/>
      <c r="T6" s="269" t="s">
        <v>278</v>
      </c>
      <c r="U6" s="270" t="s">
        <v>279</v>
      </c>
      <c r="V6" s="270" t="s">
        <v>280</v>
      </c>
      <c r="W6" s="270" t="s">
        <v>281</v>
      </c>
      <c r="X6" s="270" t="s">
        <v>282</v>
      </c>
      <c r="Y6" s="271" t="s">
        <v>283</v>
      </c>
      <c r="Z6" s="271" t="s">
        <v>284</v>
      </c>
      <c r="AA6" s="271"/>
      <c r="AB6" s="272"/>
      <c r="AC6" s="273" t="s">
        <v>285</v>
      </c>
      <c r="AD6" s="273" t="s">
        <v>286</v>
      </c>
      <c r="AE6" s="273" t="s">
        <v>99</v>
      </c>
      <c r="AF6" s="273" t="s">
        <v>100</v>
      </c>
      <c r="AG6" s="273" t="s">
        <v>287</v>
      </c>
      <c r="AH6" s="273" t="s">
        <v>98</v>
      </c>
      <c r="AI6" s="274"/>
      <c r="AJ6" s="275" t="s">
        <v>288</v>
      </c>
      <c r="AK6" s="276" t="s">
        <v>101</v>
      </c>
      <c r="AL6" s="276" t="s">
        <v>289</v>
      </c>
      <c r="AM6" s="277" t="s">
        <v>98</v>
      </c>
      <c r="AN6" s="278"/>
    </row>
    <row r="7" spans="1:46" ht="19.5" customHeight="1">
      <c r="I7" s="1832"/>
      <c r="J7" s="1832"/>
      <c r="K7" s="520" t="str">
        <f>W6</f>
        <v>都道府県繰入金(2号分)</v>
      </c>
      <c r="L7" s="519" t="str">
        <f>TEXT(W9,"#,##0.00;-#,##0.00;0.00")&amp;"%"</f>
        <v>0.36%</v>
      </c>
      <c r="N7" s="264" t="s">
        <v>290</v>
      </c>
      <c r="O7" s="1550">
        <v>915031</v>
      </c>
      <c r="P7" s="1550">
        <v>230319</v>
      </c>
      <c r="Q7" s="1551">
        <v>5</v>
      </c>
      <c r="R7" s="1551">
        <v>230325</v>
      </c>
      <c r="S7" s="1551">
        <v>2515</v>
      </c>
      <c r="T7" s="1552">
        <v>565409</v>
      </c>
      <c r="U7" s="1552">
        <v>2671</v>
      </c>
      <c r="V7" s="1552">
        <v>5516</v>
      </c>
      <c r="W7" s="1552">
        <v>3252</v>
      </c>
      <c r="X7" s="1552">
        <v>2024</v>
      </c>
      <c r="Y7" s="1552">
        <v>0</v>
      </c>
      <c r="Z7" s="1552">
        <v>0</v>
      </c>
      <c r="AA7" s="1552">
        <v>578872</v>
      </c>
      <c r="AB7" s="1552">
        <v>0</v>
      </c>
      <c r="AC7" s="1552">
        <v>27561</v>
      </c>
      <c r="AD7" s="1552">
        <v>17287</v>
      </c>
      <c r="AE7" s="1552">
        <v>17338</v>
      </c>
      <c r="AF7" s="1553">
        <v>1993</v>
      </c>
      <c r="AG7" s="1553">
        <v>0</v>
      </c>
      <c r="AH7" s="1553">
        <v>17214</v>
      </c>
      <c r="AI7" s="1554">
        <f>SUM(AC7:AH7)</f>
        <v>81393</v>
      </c>
      <c r="AJ7" s="1553">
        <v>0</v>
      </c>
      <c r="AK7" s="1553">
        <v>20186</v>
      </c>
      <c r="AL7" s="1553">
        <v>0</v>
      </c>
      <c r="AM7" s="1553">
        <v>1740</v>
      </c>
      <c r="AN7" s="1555">
        <f>SUM(AJ7:AM7)</f>
        <v>21926</v>
      </c>
    </row>
    <row r="8" spans="1:46" ht="19.5" customHeight="1" thickBot="1">
      <c r="I8" s="1833"/>
      <c r="J8" s="1833"/>
      <c r="K8" s="520" t="str">
        <f>X6</f>
        <v>特定健康診査等負担金</v>
      </c>
      <c r="L8" s="519" t="str">
        <f>TEXT(X9,"#,##0.00;-#,##0.00;0.00")&amp;"%"</f>
        <v>0.22%</v>
      </c>
      <c r="N8" s="279" t="s">
        <v>291</v>
      </c>
      <c r="O8" s="264"/>
      <c r="P8" s="1583">
        <f t="shared" ref="P8:AG8" si="0">ROUND(P7/$O7*100,3)</f>
        <v>25.170999999999999</v>
      </c>
      <c r="Q8" s="1583">
        <f t="shared" si="0"/>
        <v>1E-3</v>
      </c>
      <c r="R8" s="1583">
        <f t="shared" si="0"/>
        <v>25.170999999999999</v>
      </c>
      <c r="S8" s="1583">
        <f t="shared" si="0"/>
        <v>0.27500000000000002</v>
      </c>
      <c r="T8" s="1589">
        <f t="shared" si="0"/>
        <v>61.790999999999997</v>
      </c>
      <c r="U8" s="1589">
        <f t="shared" si="0"/>
        <v>0.29199999999999998</v>
      </c>
      <c r="V8" s="1589">
        <f t="shared" si="0"/>
        <v>0.60299999999999998</v>
      </c>
      <c r="W8" s="1589">
        <f t="shared" si="0"/>
        <v>0.35499999999999998</v>
      </c>
      <c r="X8" s="1589">
        <f t="shared" si="0"/>
        <v>0.221</v>
      </c>
      <c r="Y8" s="1589">
        <f t="shared" si="0"/>
        <v>0</v>
      </c>
      <c r="Z8" s="1589">
        <f t="shared" si="0"/>
        <v>0</v>
      </c>
      <c r="AA8" s="1589">
        <f t="shared" si="0"/>
        <v>63.262999999999998</v>
      </c>
      <c r="AB8" s="1583">
        <f t="shared" si="0"/>
        <v>0</v>
      </c>
      <c r="AC8" s="1590">
        <f t="shared" si="0"/>
        <v>3.012</v>
      </c>
      <c r="AD8" s="1590">
        <f t="shared" si="0"/>
        <v>1.889</v>
      </c>
      <c r="AE8" s="1590">
        <f t="shared" si="0"/>
        <v>1.895</v>
      </c>
      <c r="AF8" s="1590">
        <f t="shared" si="0"/>
        <v>0.218</v>
      </c>
      <c r="AG8" s="1590">
        <f t="shared" si="0"/>
        <v>0</v>
      </c>
      <c r="AH8" s="1590">
        <f>ROUND(AH7/$O7*100,3)+0.01</f>
        <v>1.891</v>
      </c>
      <c r="AI8" s="1590">
        <f t="shared" ref="AI8:AN8" si="1">ROUND(AI7/$O7*100,3)</f>
        <v>8.8949999999999996</v>
      </c>
      <c r="AJ8" s="1591">
        <f t="shared" si="1"/>
        <v>0</v>
      </c>
      <c r="AK8" s="1591">
        <f t="shared" si="1"/>
        <v>2.206</v>
      </c>
      <c r="AL8" s="1591">
        <f t="shared" si="1"/>
        <v>0</v>
      </c>
      <c r="AM8" s="1591">
        <f t="shared" si="1"/>
        <v>0.19</v>
      </c>
      <c r="AN8" s="1591">
        <f t="shared" si="1"/>
        <v>2.3959999999999999</v>
      </c>
    </row>
    <row r="9" spans="1:46" ht="13.5" customHeight="1" thickBot="1">
      <c r="I9" s="1834" t="str">
        <f>Y6</f>
        <v>財政安定化基金交付金</v>
      </c>
      <c r="J9" s="1835"/>
      <c r="K9" s="1836"/>
      <c r="L9" s="519" t="str">
        <f>TEXT(Y9,"#,##0.00;-#,##0.00;0.00")&amp;"%"</f>
        <v>0.00%</v>
      </c>
      <c r="N9" s="279" t="s">
        <v>291</v>
      </c>
      <c r="O9" s="284" t="s">
        <v>292</v>
      </c>
      <c r="P9" s="1587">
        <f>ROUND(P7/$O7*100,2)</f>
        <v>25.17</v>
      </c>
      <c r="Q9" s="1587">
        <f>ROUND(Q7/$O7*100,2)</f>
        <v>0</v>
      </c>
      <c r="R9" s="1586">
        <f>SUM(P9:Q9)</f>
        <v>25.17</v>
      </c>
      <c r="S9" s="1587">
        <f t="shared" ref="S9:Z9" si="2">ROUND(S7/$O7*100,2)</f>
        <v>0.27</v>
      </c>
      <c r="T9" s="1592">
        <f t="shared" si="2"/>
        <v>61.79</v>
      </c>
      <c r="U9" s="1592">
        <f t="shared" si="2"/>
        <v>0.28999999999999998</v>
      </c>
      <c r="V9" s="1592">
        <f t="shared" si="2"/>
        <v>0.6</v>
      </c>
      <c r="W9" s="1592">
        <f t="shared" si="2"/>
        <v>0.36</v>
      </c>
      <c r="X9" s="1592">
        <f t="shared" si="2"/>
        <v>0.22</v>
      </c>
      <c r="Y9" s="1592">
        <f t="shared" si="2"/>
        <v>0</v>
      </c>
      <c r="Z9" s="1592">
        <f t="shared" si="2"/>
        <v>0</v>
      </c>
      <c r="AA9" s="1592">
        <f>SUM(T9:Z9)</f>
        <v>63.26</v>
      </c>
      <c r="AB9" s="1587">
        <f t="shared" ref="AB9:AG9" si="3">ROUND(AB7/$O7*100,2)</f>
        <v>0</v>
      </c>
      <c r="AC9" s="1593">
        <f t="shared" si="3"/>
        <v>3.01</v>
      </c>
      <c r="AD9" s="1593">
        <f t="shared" si="3"/>
        <v>1.89</v>
      </c>
      <c r="AE9" s="1593">
        <f t="shared" si="3"/>
        <v>1.89</v>
      </c>
      <c r="AF9" s="1593">
        <f t="shared" si="3"/>
        <v>0.22</v>
      </c>
      <c r="AG9" s="1593">
        <f t="shared" si="3"/>
        <v>0</v>
      </c>
      <c r="AH9" s="1593">
        <f>ROUND(AI9-SUM(AC9:AG9),2)</f>
        <v>1.89</v>
      </c>
      <c r="AI9" s="1593">
        <f>ROUND(AI7/$O7*100,2)</f>
        <v>8.9</v>
      </c>
      <c r="AJ9" s="1594">
        <f>ROUND(AJ7/$O7*100,2)</f>
        <v>0</v>
      </c>
      <c r="AK9" s="1594">
        <f>ROUND(AK7/$O7*100,2)</f>
        <v>2.21</v>
      </c>
      <c r="AL9" s="1594">
        <f>ROUND(AL7/$O7*100,2)</f>
        <v>0</v>
      </c>
      <c r="AM9" s="1594">
        <f>ROUND(AM7/$O7*100,2)</f>
        <v>0.19</v>
      </c>
      <c r="AN9" s="1594">
        <f>ROUND(100-(R8+S8+AA8+AB8+AI9),2)</f>
        <v>2.39</v>
      </c>
    </row>
    <row r="10" spans="1:46" ht="13.5" customHeight="1" thickBot="1">
      <c r="I10" s="1834" t="str">
        <f>Z6</f>
        <v>その他</v>
      </c>
      <c r="J10" s="1835"/>
      <c r="K10" s="1836"/>
      <c r="L10" s="519" t="str">
        <f>TEXT(Z9,"#,##0.00;-#,##0.00;0.00")&amp;"%"</f>
        <v>0.00%</v>
      </c>
      <c r="O10" s="290" t="s">
        <v>293</v>
      </c>
      <c r="P10" s="291" t="str">
        <f>IF(P9=0,P5&amp;P6&amp;",","")</f>
        <v/>
      </c>
      <c r="Q10" s="292" t="str">
        <f>IF(Q9=0,Q5&amp;Q6&amp;",","")</f>
        <v>退職,</v>
      </c>
      <c r="R10" s="292" t="str">
        <f>IF(AND(R9=0,R7&lt;&gt;0),R5&amp;R6&amp;",","")</f>
        <v/>
      </c>
      <c r="S10" s="292" t="str">
        <f>IF(AND(S9=0,S7&lt;&gt;0),S5&amp;S6&amp;",","")</f>
        <v/>
      </c>
      <c r="T10" s="293"/>
      <c r="U10" s="293"/>
      <c r="V10" s="293"/>
      <c r="W10" s="293"/>
      <c r="X10" s="293"/>
      <c r="Y10" s="293"/>
      <c r="Z10" s="293"/>
      <c r="AA10" s="293" t="str">
        <f>IF(AND(AA9=0,AA7&lt;&gt;0),AA5&amp;AA6&amp;",","")</f>
        <v/>
      </c>
      <c r="AB10" s="292" t="str">
        <f>IF(AND(AB9=0,AB7&lt;&gt;0),AB5&amp;AB6&amp;",","")</f>
        <v/>
      </c>
      <c r="AC10" s="294"/>
      <c r="AD10" s="294"/>
      <c r="AE10" s="294"/>
      <c r="AF10" s="294"/>
      <c r="AG10" s="294"/>
      <c r="AH10" s="294"/>
      <c r="AI10" s="294" t="str">
        <f>IF(AND(AI9=0,AI7&lt;&gt;0),AI5&amp;AI6&amp;",","")</f>
        <v/>
      </c>
      <c r="AJ10" s="295"/>
      <c r="AK10" s="295"/>
      <c r="AL10" s="295"/>
      <c r="AM10" s="295"/>
      <c r="AN10" s="295" t="str">
        <f>IF(AND(AN9=0,AN7&lt;&gt;0),AN5&amp;AN6&amp;",","")</f>
        <v/>
      </c>
    </row>
    <row r="11" spans="1:46" ht="13.5" customHeight="1">
      <c r="O11" s="264" t="s">
        <v>294</v>
      </c>
      <c r="P11" s="264" t="str">
        <f>P10&amp;Q10&amp;R10&amp;T10&amp;U10&amp;V10&amp;W10&amp;X10&amp;S10&amp;T10&amp;U10&amp;V10&amp;W10&amp;X10&amp;Y10&amp;Z10&amp;AA10&amp;AB10&amp;AC10&amp;AD10&amp;AE10&amp;AF10&amp;AG10&amp;AH10&amp;AI10&amp;AJ10&amp;AK10&amp;AL10&amp;AM10&amp;AN10</f>
        <v>退職,</v>
      </c>
      <c r="Q11" s="264">
        <f>LEN(P11)</f>
        <v>3</v>
      </c>
      <c r="R11" s="296" t="str">
        <f>IF(ISERROR(Q11),"",IF(Q11=0,"","注:"&amp;LEFT(P11,Q11-1)&amp;"は端数処理により０％になっている。"))</f>
        <v>注:退職は端数処理により０％になっている。</v>
      </c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</row>
    <row r="12" spans="1:46" ht="13.5" customHeight="1">
      <c r="N12" s="1246" t="s">
        <v>295</v>
      </c>
      <c r="AA12" s="264"/>
    </row>
    <row r="13" spans="1:46" ht="13.5" customHeight="1" thickBot="1">
      <c r="I13" s="1825" t="str">
        <f>AI5&amp;"("&amp;TEXT(AI9,"#,##0.00;-#,##0.00;#")&amp;"%)内訳"</f>
        <v>一般会計繰入金(8.90%)内訳</v>
      </c>
      <c r="J13" s="1826"/>
      <c r="K13" s="1826"/>
      <c r="L13" s="1827"/>
      <c r="N13" s="298" t="s">
        <v>296</v>
      </c>
      <c r="O13" s="1240" t="s">
        <v>297</v>
      </c>
      <c r="P13" s="1250" t="s">
        <v>298</v>
      </c>
      <c r="Q13" s="1251" t="str">
        <f>IF(AND(S9=0,S7&lt;&gt;0),"","国庫支出金")</f>
        <v>国庫支出金</v>
      </c>
      <c r="R13" s="1255" t="s">
        <v>299</v>
      </c>
      <c r="S13" s="1252" t="str">
        <f>IF(S14="0","","連合会支出金")</f>
        <v/>
      </c>
      <c r="T13" s="1253" t="s">
        <v>300</v>
      </c>
      <c r="U13" s="1254" t="s">
        <v>301</v>
      </c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</row>
    <row r="14" spans="1:46" ht="13.5" customHeight="1" thickBot="1">
      <c r="I14" s="1834" t="str">
        <f>AC6</f>
        <v>保険税軽減分</v>
      </c>
      <c r="J14" s="1835"/>
      <c r="K14" s="1836"/>
      <c r="L14" s="521" t="str">
        <f>TEXT(AC9,"#,##0.00;-#,##0.00;0.00")&amp;"%"</f>
        <v>3.01%</v>
      </c>
      <c r="O14" s="300" t="s">
        <v>292</v>
      </c>
      <c r="P14" s="301" t="str">
        <f>TEXT(R9,"#,##0.00;-#,##0.00;#")</f>
        <v>25.17</v>
      </c>
      <c r="Q14" s="1247" t="str">
        <f>TEXT(S9,"#,##0.00;-#,##0.00;0")</f>
        <v>0.27</v>
      </c>
      <c r="R14" s="1247" t="str">
        <f>TEXT(AA9,"#,##0.00;-#,##0.00;#")</f>
        <v>63.26</v>
      </c>
      <c r="S14" s="1247" t="str">
        <f>TEXT(AB9,"#,##0.00;-#,##0.00;0")</f>
        <v>0</v>
      </c>
      <c r="T14" s="1248" t="str">
        <f>TEXT(AI9,"#,##0.00;-#,##0.00;#")</f>
        <v>8.90</v>
      </c>
      <c r="U14" s="1248" t="str">
        <f>TEXT(AN9,"#,##0.00;-#,##0.00;#")</f>
        <v>2.39</v>
      </c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</row>
    <row r="15" spans="1:46" ht="13.5" customHeight="1">
      <c r="I15" s="1838" t="str">
        <f>AD6</f>
        <v>保険者支援分</v>
      </c>
      <c r="J15" s="1838"/>
      <c r="K15" s="1838"/>
      <c r="L15" s="521" t="str">
        <f>TEXT(AD9,"#,##0.00;-#,##0.00;0.00")&amp;"%"</f>
        <v>1.89%</v>
      </c>
      <c r="O15" s="264" t="s">
        <v>302</v>
      </c>
      <c r="P15" s="264" t="str">
        <f>P13&amp;P14&amp;"%"</f>
        <v>保険料 
25.17%</v>
      </c>
      <c r="Q15" s="264"/>
      <c r="R15" s="264"/>
      <c r="S15" s="304"/>
      <c r="T15" s="264"/>
      <c r="U15" s="264"/>
      <c r="W15" s="264"/>
      <c r="X15" s="264"/>
      <c r="Y15" s="264"/>
    </row>
    <row r="16" spans="1:46" ht="13.5" customHeight="1">
      <c r="I16" s="1838" t="str">
        <f>AE6</f>
        <v>職員給与費等</v>
      </c>
      <c r="J16" s="1838"/>
      <c r="K16" s="1838"/>
      <c r="L16" s="521" t="str">
        <f>TEXT(AE9,"#,##0.00;-#,##0.00;0.00")&amp;"%"</f>
        <v>1.89%</v>
      </c>
      <c r="O16" s="264" t="s">
        <v>303</v>
      </c>
      <c r="P16" s="305">
        <f>ROUND(R9,1)</f>
        <v>25.2</v>
      </c>
      <c r="Q16" s="305">
        <f>ROUND(S9,1)</f>
        <v>0.3</v>
      </c>
      <c r="R16" s="305">
        <f>ROUND(AA9,1)</f>
        <v>63.3</v>
      </c>
      <c r="S16" s="305">
        <f>ROUND(AB9,1)</f>
        <v>0</v>
      </c>
      <c r="T16" s="305">
        <f>ROUND(AI9,1)</f>
        <v>8.9</v>
      </c>
      <c r="U16" s="305">
        <f>ROUND(AN9,1)</f>
        <v>2.4</v>
      </c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</row>
    <row r="17" spans="2:48" ht="13.5" customHeight="1">
      <c r="I17" s="1838" t="str">
        <f>AF6</f>
        <v>出産育児一時金等</v>
      </c>
      <c r="J17" s="1838"/>
      <c r="K17" s="1838"/>
      <c r="L17" s="521" t="str">
        <f>TEXT(AF9,"#,##0.00;-#,##0.00;0.00")&amp;"%"</f>
        <v>0.22%</v>
      </c>
      <c r="O17" s="264"/>
      <c r="P17" s="306" t="s">
        <v>269</v>
      </c>
      <c r="Q17" s="307"/>
      <c r="R17" s="308"/>
      <c r="S17" s="309"/>
      <c r="T17" s="309"/>
      <c r="U17" s="310"/>
      <c r="V17" s="308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</row>
    <row r="18" spans="2:48" ht="13.5" customHeight="1" thickBot="1">
      <c r="I18" s="1838" t="str">
        <f>AG6</f>
        <v>財政安定化支援事業</v>
      </c>
      <c r="J18" s="1838"/>
      <c r="K18" s="1838"/>
      <c r="L18" s="521" t="str">
        <f>TEXT(AG9,"#,##0.00;-#,##0.00;0.00")&amp;"%"</f>
        <v>0.00%</v>
      </c>
      <c r="N18" s="298" t="s">
        <v>304</v>
      </c>
      <c r="O18" s="1243" t="s">
        <v>305</v>
      </c>
      <c r="P18" s="311" t="s">
        <v>306</v>
      </c>
      <c r="Q18" s="312" t="s">
        <v>307</v>
      </c>
      <c r="R18" s="313" t="s">
        <v>308</v>
      </c>
      <c r="S18" s="314" t="s">
        <v>309</v>
      </c>
      <c r="T18" s="315" t="s">
        <v>310</v>
      </c>
      <c r="U18" s="316" t="s">
        <v>273</v>
      </c>
      <c r="V18" s="317" t="s">
        <v>301</v>
      </c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</row>
    <row r="19" spans="2:48" ht="13.5" customHeight="1" thickBot="1">
      <c r="I19" s="1838" t="str">
        <f>AH6</f>
        <v>その他</v>
      </c>
      <c r="J19" s="1838"/>
      <c r="K19" s="1838"/>
      <c r="L19" s="521" t="str">
        <f>TEXT(AH9,"#,##0.00;-#,##0.00;0.00")&amp;"%"</f>
        <v>1.89%</v>
      </c>
      <c r="O19" s="300" t="s">
        <v>292</v>
      </c>
      <c r="P19" s="319" t="str">
        <f>TEXT(P9,"#,##0.00;-#,##0.00;#")</f>
        <v>25.17</v>
      </c>
      <c r="Q19" s="319" t="str">
        <f>TEXT(Q9,"#,##0.00;-#,##0.00;#")</f>
        <v/>
      </c>
      <c r="R19" s="319" t="str">
        <f>TEXT(S9,"#,##0.00;-#,##0.00;#")</f>
        <v>0.27</v>
      </c>
      <c r="S19" s="319" t="str">
        <f>TEXT(AA9,"#,##0.00;-#,##0.00;#")</f>
        <v>63.26</v>
      </c>
      <c r="T19" s="319" t="str">
        <f>TEXT(AB9,"#,##0.00;-#,##0.00;#")</f>
        <v/>
      </c>
      <c r="U19" s="319" t="str">
        <f>TEXT(AI9,"#,##0.00;-#,##0.00;#")</f>
        <v>8.90</v>
      </c>
      <c r="V19" s="319" t="str">
        <f>TEXT(AN9,"#,##0.00;-#,##0.00;#")</f>
        <v>2.39</v>
      </c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</row>
    <row r="20" spans="2:48" ht="13.5" customHeight="1">
      <c r="O20" s="264" t="s">
        <v>302</v>
      </c>
      <c r="P20" s="264" t="str">
        <f t="shared" ref="P20:V20" si="4">P18&amp;P19&amp;"%"</f>
        <v xml:space="preserve"> 一般
被保険者分
25.17%</v>
      </c>
      <c r="Q20" s="264" t="str">
        <f t="shared" si="4"/>
        <v>退職
被保険者等分
%</v>
      </c>
      <c r="R20" s="264" t="str">
        <f>IF(S9=0,"",R18&amp;R19&amp;"%")</f>
        <v>国庫支出金 0.27%</v>
      </c>
      <c r="S20" s="264" t="str">
        <f t="shared" si="4"/>
        <v>都道府県支出金63.26%</v>
      </c>
      <c r="T20" s="264" t="str">
        <f>IF(AB9=0,"",T18&amp;T19&amp;"%")</f>
        <v/>
      </c>
      <c r="U20" s="264" t="str">
        <f t="shared" si="4"/>
        <v>一般会計繰入金8.90%</v>
      </c>
      <c r="V20" s="264" t="str">
        <f t="shared" si="4"/>
        <v xml:space="preserve"> その他 2.39%</v>
      </c>
      <c r="W20" s="264"/>
      <c r="X20" s="264"/>
      <c r="Y20" s="264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</row>
    <row r="21" spans="2:48" ht="13.5" customHeight="1">
      <c r="O21" s="264" t="s">
        <v>303</v>
      </c>
      <c r="P21" s="305">
        <f>ROUND(P9,1)</f>
        <v>25.2</v>
      </c>
      <c r="Q21" s="305">
        <f>ROUND(P16-P21,1)</f>
        <v>0</v>
      </c>
      <c r="R21" s="305">
        <f>ROUND(S9,1)</f>
        <v>0.3</v>
      </c>
      <c r="S21" s="305">
        <f>ROUND(AA9,1)</f>
        <v>63.3</v>
      </c>
      <c r="T21" s="305">
        <f>ROUND(AB9,1)</f>
        <v>0</v>
      </c>
      <c r="U21" s="305">
        <f>ROUND(AI9,1)</f>
        <v>8.9</v>
      </c>
      <c r="V21" s="305">
        <f>ROUND(100-SUM(P21:U21),1)</f>
        <v>2.2999999999999998</v>
      </c>
      <c r="W21" s="305"/>
      <c r="X21" s="305"/>
      <c r="Y21" s="320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</row>
    <row r="22" spans="2:48" ht="13.5" customHeight="1">
      <c r="I22" s="1839" t="str">
        <f>AN5&amp;"("&amp;TEXT(AN9,"#,##0.00;-#,##0.00;#")&amp;"%)内訳"</f>
        <v>その他(2.39%)内訳</v>
      </c>
      <c r="J22" s="1840"/>
      <c r="K22" s="1840"/>
      <c r="L22" s="1841"/>
      <c r="T22" s="264"/>
    </row>
    <row r="23" spans="2:48" ht="13.5" customHeight="1">
      <c r="I23" s="1838" t="str">
        <f>AJ6</f>
        <v>基金等繰入金</v>
      </c>
      <c r="J23" s="1838"/>
      <c r="K23" s="1838"/>
      <c r="L23" s="522" t="str">
        <f>TEXT(AJ9,"#,##0.00;-#,##0.00;0.00")&amp;"%"</f>
        <v>0.00%</v>
      </c>
      <c r="N23" s="1246" t="s">
        <v>235</v>
      </c>
      <c r="O23" s="1249" t="s">
        <v>311</v>
      </c>
      <c r="P23" s="244" t="str">
        <f>"{"&amp;""""&amp;P15&amp;""""&amp;","&amp;""""&amp;Q15&amp;""""&amp;","&amp;""""&amp;R15&amp;""""&amp;","&amp;""""&amp;S15&amp;""""&amp;","&amp;""""&amp;T15&amp;""""&amp;","&amp;""""&amp;U15&amp;""""&amp;"}"</f>
        <v>{"保険料 
25.17%","","","","",""}</v>
      </c>
      <c r="Q23" s="244" t="str">
        <f>"{"&amp;P16&amp;","&amp;Q16&amp;","&amp;R16&amp;","&amp;S16&amp;","&amp;T16&amp;","&amp;U16&amp;"}"</f>
        <v>{25.2,0.3,63.3,0,8.9,2.4}</v>
      </c>
      <c r="S23" s="1286"/>
    </row>
    <row r="24" spans="2:48" ht="13.5" customHeight="1">
      <c r="I24" s="1838" t="str">
        <f>AK6</f>
        <v>繰越金</v>
      </c>
      <c r="J24" s="1838"/>
      <c r="K24" s="1838"/>
      <c r="L24" s="521" t="str">
        <f>TEXT(AK9,"#,##0.00;-#,##0.00;0.00")&amp;"%"</f>
        <v>2.21%</v>
      </c>
      <c r="O24" s="1249" t="s">
        <v>312</v>
      </c>
      <c r="P24" s="244" t="str">
        <f>"{"&amp;""""&amp;P20&amp;""""&amp;","&amp;""""&amp;Q20&amp;""""&amp;","&amp;""""&amp;R20&amp;""""&amp;","&amp;""""&amp;S20&amp;""""&amp;","&amp;""""&amp;T20&amp;""""&amp;","&amp;""""&amp;U20&amp;""""&amp;","&amp;""""&amp;V20&amp;""""&amp;"}"</f>
        <v>{" 一般
被保険者分
25.17%","退職
被保険者等分
%","国庫支出金 0.27%","都道府県支出金63.26%","","一般会計繰入金8.90%"," その他 2.39%"}</v>
      </c>
      <c r="Q24" s="244" t="str">
        <f>"{"&amp;P21&amp;","&amp;Q21&amp;","&amp;R21&amp;","&amp;S21&amp;","&amp;T21&amp;","&amp;U21&amp;","&amp;V21&amp;"}"</f>
        <v>{25.2,0,0.3,63.3,0,8.9,2.3}</v>
      </c>
    </row>
    <row r="25" spans="2:48" ht="13.5" customHeight="1">
      <c r="I25" s="1838" t="str">
        <f>AL6</f>
        <v>市町村債</v>
      </c>
      <c r="J25" s="1838"/>
      <c r="K25" s="1838"/>
      <c r="L25" s="521" t="str">
        <f>TEXT(AL9,"#,##0.00;-#,##0.00;0.00")&amp;"%"</f>
        <v>0.00%</v>
      </c>
    </row>
    <row r="26" spans="2:48" ht="13.5" customHeight="1">
      <c r="I26" s="1838" t="str">
        <f>AM6</f>
        <v>その他</v>
      </c>
      <c r="J26" s="1838"/>
      <c r="K26" s="1838"/>
      <c r="L26" s="521" t="str">
        <f>TEXT(AM9,"#,##0.00;-#,##0.00;0.00")&amp;"%"</f>
        <v>0.19%</v>
      </c>
      <c r="O26" s="244" t="str">
        <f>TEXT(O7,"#,##0")&amp;CHAR(10)&amp;N7</f>
        <v>915,031
百万円</v>
      </c>
    </row>
    <row r="29" spans="2:48" ht="13.5" customHeight="1" thickBot="1"/>
    <row r="30" spans="2:48" ht="13.5" customHeight="1" thickBot="1">
      <c r="O30" s="1266" t="s">
        <v>650</v>
      </c>
      <c r="P30" s="1267" t="s">
        <v>651</v>
      </c>
      <c r="Q30" s="1267" t="s">
        <v>652</v>
      </c>
      <c r="R30" s="1267" t="s">
        <v>653</v>
      </c>
      <c r="S30" s="1267" t="s">
        <v>654</v>
      </c>
      <c r="T30" s="1267" t="s">
        <v>655</v>
      </c>
      <c r="U30" s="1267" t="s">
        <v>656</v>
      </c>
      <c r="V30" s="1271" t="s">
        <v>657</v>
      </c>
      <c r="W30" s="1267" t="s">
        <v>658</v>
      </c>
      <c r="X30" s="1267" t="s">
        <v>659</v>
      </c>
      <c r="Y30" s="1267" t="s">
        <v>660</v>
      </c>
      <c r="Z30" s="1267" t="s">
        <v>661</v>
      </c>
      <c r="AA30" s="1272" t="s">
        <v>662</v>
      </c>
      <c r="AB30" s="1272" t="s">
        <v>663</v>
      </c>
      <c r="AC30" s="1272" t="s">
        <v>664</v>
      </c>
      <c r="AD30" s="1272" t="s">
        <v>665</v>
      </c>
      <c r="AE30" s="1273" t="s">
        <v>666</v>
      </c>
      <c r="AF30" s="1274" t="s">
        <v>667</v>
      </c>
      <c r="AG30" s="1275" t="s">
        <v>668</v>
      </c>
      <c r="AH30" s="1279" t="s">
        <v>669</v>
      </c>
      <c r="AI30" s="1276"/>
      <c r="AJ30" s="1277" t="s">
        <v>638</v>
      </c>
      <c r="AK30" s="1277" t="s">
        <v>672</v>
      </c>
      <c r="AL30" s="1277" t="s">
        <v>642</v>
      </c>
      <c r="AM30" s="1277" t="s">
        <v>641</v>
      </c>
      <c r="AN30" s="1277" t="s">
        <v>640</v>
      </c>
      <c r="AO30" s="1277" t="s">
        <v>639</v>
      </c>
      <c r="AP30" s="1277" t="s">
        <v>644</v>
      </c>
      <c r="AQ30" s="1277" t="s">
        <v>643</v>
      </c>
      <c r="AR30" s="1277" t="s">
        <v>645</v>
      </c>
      <c r="AS30" s="1277" t="s">
        <v>646</v>
      </c>
      <c r="AT30" s="1277" t="s">
        <v>647</v>
      </c>
      <c r="AU30" s="1277" t="s">
        <v>648</v>
      </c>
      <c r="AV30" s="1277" t="s">
        <v>649</v>
      </c>
    </row>
    <row r="31" spans="2:48" ht="13.5" customHeight="1" thickBot="1">
      <c r="B31" s="1837" t="str">
        <f>R11</f>
        <v>注:退職は端数処理により０％になっている。</v>
      </c>
      <c r="C31" s="1837"/>
      <c r="D31" s="1837"/>
      <c r="E31" s="1837"/>
      <c r="F31" s="1837"/>
      <c r="G31" s="1837"/>
      <c r="H31" s="1837"/>
      <c r="I31" s="1837"/>
      <c r="J31" s="1837"/>
      <c r="K31" s="1837"/>
      <c r="L31" s="523"/>
      <c r="N31" s="322" t="s">
        <v>314</v>
      </c>
      <c r="O31" s="248" t="s">
        <v>15</v>
      </c>
      <c r="P31" s="323" t="s">
        <v>315</v>
      </c>
      <c r="Q31" s="324"/>
      <c r="R31" s="325"/>
      <c r="S31" s="326" t="s">
        <v>276</v>
      </c>
      <c r="T31" s="327"/>
      <c r="U31" s="328" t="s">
        <v>276</v>
      </c>
      <c r="V31" s="329" t="s">
        <v>277</v>
      </c>
      <c r="W31" s="325"/>
      <c r="X31" s="329" t="s">
        <v>277</v>
      </c>
      <c r="Y31" s="328" t="s">
        <v>277</v>
      </c>
      <c r="Z31" s="330" t="s">
        <v>316</v>
      </c>
      <c r="AA31" s="331" t="s">
        <v>317</v>
      </c>
      <c r="AB31" s="332"/>
      <c r="AC31" s="332"/>
      <c r="AD31" s="333"/>
      <c r="AE31" s="334" t="s">
        <v>318</v>
      </c>
      <c r="AF31" s="335" t="s">
        <v>319</v>
      </c>
      <c r="AG31" s="1263" t="s">
        <v>320</v>
      </c>
      <c r="AH31" s="336" t="s">
        <v>321</v>
      </c>
    </row>
    <row r="32" spans="2:48" ht="13.5" customHeight="1" thickBot="1">
      <c r="B32" s="1837"/>
      <c r="C32" s="1837"/>
      <c r="D32" s="1837"/>
      <c r="E32" s="1837"/>
      <c r="F32" s="1837"/>
      <c r="G32" s="1837"/>
      <c r="H32" s="1837"/>
      <c r="I32" s="1837"/>
      <c r="J32" s="1837"/>
      <c r="K32" s="1837"/>
      <c r="N32" s="264"/>
      <c r="O32" s="337" t="s">
        <v>322</v>
      </c>
      <c r="P32" s="338"/>
      <c r="Q32" s="339" t="s">
        <v>323</v>
      </c>
      <c r="R32" s="340" t="s">
        <v>188</v>
      </c>
      <c r="S32" s="340" t="s">
        <v>324</v>
      </c>
      <c r="T32" s="341" t="s">
        <v>98</v>
      </c>
      <c r="U32" s="342" t="s">
        <v>325</v>
      </c>
      <c r="V32" s="343" t="s">
        <v>323</v>
      </c>
      <c r="W32" s="344" t="s">
        <v>188</v>
      </c>
      <c r="X32" s="344" t="s">
        <v>324</v>
      </c>
      <c r="Y32" s="342" t="s">
        <v>325</v>
      </c>
      <c r="Z32" s="338"/>
      <c r="AA32" s="345" t="s">
        <v>326</v>
      </c>
      <c r="AB32" s="345" t="s">
        <v>327</v>
      </c>
      <c r="AC32" s="345" t="s">
        <v>328</v>
      </c>
      <c r="AD32" s="345" t="s">
        <v>62</v>
      </c>
      <c r="AE32" s="346"/>
      <c r="AF32" s="347"/>
      <c r="AG32" s="348"/>
      <c r="AH32" s="349"/>
    </row>
    <row r="33" spans="14:48" ht="13.5" customHeight="1" thickBot="1">
      <c r="N33" s="264" t="s">
        <v>290</v>
      </c>
      <c r="O33" s="1556">
        <v>896004</v>
      </c>
      <c r="P33" s="1550">
        <v>17562</v>
      </c>
      <c r="Q33" s="1557">
        <f>SUM(AJ33:AK33)</f>
        <v>487819</v>
      </c>
      <c r="R33" s="1558">
        <v>69382</v>
      </c>
      <c r="S33" s="1551">
        <v>101</v>
      </c>
      <c r="T33" s="1559">
        <f>SUM(AL33:AO33)</f>
        <v>4255</v>
      </c>
      <c r="U33" s="1560">
        <v>561558</v>
      </c>
      <c r="V33" s="1559">
        <f>SUM(AP33:AQ33)</f>
        <v>1</v>
      </c>
      <c r="W33" s="1551">
        <v>0</v>
      </c>
      <c r="X33" s="1551">
        <v>0</v>
      </c>
      <c r="Y33" s="1551">
        <v>1</v>
      </c>
      <c r="Z33" s="1551">
        <v>2254</v>
      </c>
      <c r="AA33" s="1551">
        <v>197334</v>
      </c>
      <c r="AB33" s="1551">
        <v>65768</v>
      </c>
      <c r="AC33" s="1551">
        <v>30234</v>
      </c>
      <c r="AD33" s="1551">
        <v>293336</v>
      </c>
      <c r="AE33" s="1551">
        <v>0</v>
      </c>
      <c r="AF33" s="1551">
        <v>7432</v>
      </c>
      <c r="AG33" s="1551">
        <v>5930</v>
      </c>
      <c r="AH33" s="1557">
        <f>SUM(AR33:AV33)</f>
        <v>7930</v>
      </c>
      <c r="AI33" s="1561"/>
      <c r="AJ33" s="1551">
        <v>487818</v>
      </c>
      <c r="AK33" s="1551">
        <v>1</v>
      </c>
      <c r="AL33" s="1560">
        <v>2718</v>
      </c>
      <c r="AM33" s="1560">
        <v>687</v>
      </c>
      <c r="AN33" s="1560">
        <v>0</v>
      </c>
      <c r="AO33" s="1560">
        <v>850</v>
      </c>
      <c r="AP33" s="1560">
        <v>1</v>
      </c>
      <c r="AQ33" s="1560">
        <v>0</v>
      </c>
      <c r="AR33" s="1551">
        <v>0</v>
      </c>
      <c r="AS33" s="1551">
        <v>0</v>
      </c>
      <c r="AT33" s="1551">
        <v>0</v>
      </c>
      <c r="AU33" s="1551">
        <v>7930</v>
      </c>
      <c r="AV33" s="1551">
        <v>0</v>
      </c>
    </row>
    <row r="34" spans="14:48" ht="13.5" customHeight="1" thickBot="1">
      <c r="N34" s="279" t="s">
        <v>291</v>
      </c>
      <c r="O34" s="264"/>
      <c r="P34" s="1583">
        <f t="shared" ref="P34:AH34" si="5">ROUND(P33/$O33*100,3)</f>
        <v>1.96</v>
      </c>
      <c r="Q34" s="1584">
        <f t="shared" si="5"/>
        <v>54.444000000000003</v>
      </c>
      <c r="R34" s="1584">
        <f t="shared" si="5"/>
        <v>7.7430000000000003</v>
      </c>
      <c r="S34" s="1584">
        <f t="shared" si="5"/>
        <v>1.0999999999999999E-2</v>
      </c>
      <c r="T34" s="1584">
        <f t="shared" si="5"/>
        <v>0.47499999999999998</v>
      </c>
      <c r="U34" s="1584">
        <f t="shared" si="5"/>
        <v>62.673999999999999</v>
      </c>
      <c r="V34" s="1584">
        <f t="shared" si="5"/>
        <v>0</v>
      </c>
      <c r="W34" s="1584">
        <f t="shared" si="5"/>
        <v>0</v>
      </c>
      <c r="X34" s="1584">
        <f t="shared" si="5"/>
        <v>0</v>
      </c>
      <c r="Y34" s="1584">
        <f t="shared" si="5"/>
        <v>0</v>
      </c>
      <c r="Z34" s="1584">
        <f t="shared" si="5"/>
        <v>0.252</v>
      </c>
      <c r="AA34" s="1584">
        <f t="shared" si="5"/>
        <v>22.024000000000001</v>
      </c>
      <c r="AB34" s="1584">
        <f t="shared" si="5"/>
        <v>7.34</v>
      </c>
      <c r="AC34" s="1584">
        <f t="shared" si="5"/>
        <v>3.3740000000000001</v>
      </c>
      <c r="AD34" s="1584">
        <f t="shared" si="5"/>
        <v>32.738</v>
      </c>
      <c r="AE34" s="1585">
        <f t="shared" si="5"/>
        <v>0</v>
      </c>
      <c r="AF34" s="1584">
        <f t="shared" si="5"/>
        <v>0.82899999999999996</v>
      </c>
      <c r="AG34" s="1584">
        <f t="shared" si="5"/>
        <v>0.66200000000000003</v>
      </c>
      <c r="AH34" s="1583">
        <f t="shared" si="5"/>
        <v>0.88500000000000001</v>
      </c>
    </row>
    <row r="35" spans="14:48" ht="13.5" customHeight="1" thickBot="1">
      <c r="N35" s="279" t="s">
        <v>291</v>
      </c>
      <c r="O35" s="300" t="s">
        <v>292</v>
      </c>
      <c r="P35" s="1586">
        <f>ROUND(P33/$O33*100,2)</f>
        <v>1.96</v>
      </c>
      <c r="Q35" s="1587">
        <f>U35-(R35+S35+T35)</f>
        <v>54.45</v>
      </c>
      <c r="R35" s="1587">
        <f>ROUND(R33/$O33*100,2)</f>
        <v>7.74</v>
      </c>
      <c r="S35" s="1587">
        <f>ROUND(S33/$O33*100,2)</f>
        <v>0.01</v>
      </c>
      <c r="T35" s="1587">
        <f>ROUND(T33/$O33*100,2)</f>
        <v>0.47</v>
      </c>
      <c r="U35" s="1587">
        <f>ROUND(U33/$O33*100,2)</f>
        <v>62.67</v>
      </c>
      <c r="V35" s="1587">
        <f>Y35-(W35+X35)</f>
        <v>0</v>
      </c>
      <c r="W35" s="1587">
        <f t="shared" ref="W35:AG35" si="6">ROUND(W33/$O33*100,2)</f>
        <v>0</v>
      </c>
      <c r="X35" s="1587">
        <f t="shared" si="6"/>
        <v>0</v>
      </c>
      <c r="Y35" s="1587">
        <f t="shared" si="6"/>
        <v>0</v>
      </c>
      <c r="Z35" s="1587">
        <f t="shared" si="6"/>
        <v>0.25</v>
      </c>
      <c r="AA35" s="1587">
        <f t="shared" si="6"/>
        <v>22.02</v>
      </c>
      <c r="AB35" s="1587">
        <f t="shared" si="6"/>
        <v>7.34</v>
      </c>
      <c r="AC35" s="1587">
        <f t="shared" si="6"/>
        <v>3.37</v>
      </c>
      <c r="AD35" s="1587">
        <f t="shared" si="6"/>
        <v>32.74</v>
      </c>
      <c r="AE35" s="1587">
        <f t="shared" si="6"/>
        <v>0</v>
      </c>
      <c r="AF35" s="1587">
        <f t="shared" si="6"/>
        <v>0.83</v>
      </c>
      <c r="AG35" s="1587">
        <f t="shared" si="6"/>
        <v>0.66</v>
      </c>
      <c r="AH35" s="1588">
        <f>ROUND(100-(P35+U35+Y35+Z35+AA35+AB35+AC35+AE35+AF35),2)</f>
        <v>1.56</v>
      </c>
    </row>
    <row r="36" spans="14:48" ht="13.5" customHeight="1" thickBot="1">
      <c r="O36" s="290" t="s">
        <v>293</v>
      </c>
      <c r="P36" s="292" t="str">
        <f>IF(AND(P35=0,P33&lt;&gt;0),P31&amp;P32&amp;",","")</f>
        <v/>
      </c>
      <c r="Q36" s="292" t="str">
        <f t="shared" ref="Q36:W36" si="7">IF(AND(Q35=0,Q33&lt;&gt;0),Q31&amp;Q32&amp;",","")</f>
        <v/>
      </c>
      <c r="R36" s="292" t="str">
        <f t="shared" si="7"/>
        <v/>
      </c>
      <c r="S36" s="292" t="str">
        <f t="shared" si="7"/>
        <v/>
      </c>
      <c r="T36" s="292" t="str">
        <f t="shared" si="7"/>
        <v/>
      </c>
      <c r="U36" s="292" t="str">
        <f t="shared" si="7"/>
        <v/>
      </c>
      <c r="V36" s="292" t="str">
        <f t="shared" si="7"/>
        <v>退職療養給付費・療養費・移送費,</v>
      </c>
      <c r="W36" s="292" t="str">
        <f t="shared" si="7"/>
        <v/>
      </c>
      <c r="X36" s="292" t="str">
        <f>IF(AND(X35=0,X33&lt;&gt;0),X31&amp;X32&amp;",","")</f>
        <v/>
      </c>
      <c r="Y36" s="292" t="str">
        <f t="shared" ref="Y36:AD36" si="8">IF(AND(Y35=0,Y33&lt;&gt;0),Y31&amp;Y32&amp;",","")</f>
        <v>退職保険給付費,</v>
      </c>
      <c r="Z36" s="292" t="str">
        <f t="shared" si="8"/>
        <v/>
      </c>
      <c r="AA36" s="292" t="str">
        <f t="shared" si="8"/>
        <v/>
      </c>
      <c r="AB36" s="292" t="str">
        <f t="shared" si="8"/>
        <v/>
      </c>
      <c r="AC36" s="292" t="str">
        <f t="shared" si="8"/>
        <v/>
      </c>
      <c r="AD36" s="292" t="str">
        <f t="shared" si="8"/>
        <v/>
      </c>
      <c r="AE36" s="353" t="str">
        <f>IF(AND(AE35=0,AE33&lt;&gt;0),AE31&amp;AE32&amp;",","")</f>
        <v/>
      </c>
      <c r="AF36" s="292" t="str">
        <f>IF(AND(AF35=0,AF33&lt;&gt;0),AF31&amp;AF32&amp;",","")</f>
        <v/>
      </c>
      <c r="AG36" s="292" t="str">
        <f>IF(AND(AG35=0,AG33&lt;&gt;0),AG31&amp;AG32&amp;",","")</f>
        <v/>
      </c>
      <c r="AH36" s="292" t="str">
        <f>IF(AND(AH35=0,AH33&lt;&gt;0),AH31&amp;AH32&amp;",","")</f>
        <v/>
      </c>
    </row>
    <row r="37" spans="14:48" ht="13.5" customHeight="1">
      <c r="O37" s="264" t="s">
        <v>294</v>
      </c>
      <c r="P37" s="264" t="str">
        <f>P36&amp;Q36&amp;R36&amp;S36&amp;T36&amp;U36&amp;V36&amp;W36&amp;X36&amp;Y36&amp;Z36&amp;AA36&amp;AB36&amp;AC36&amp;AD36&amp;AE36&amp;AF36&amp;AG36&amp;AH36</f>
        <v>退職療養給付費・療養費・移送費,退職保険給付費,</v>
      </c>
      <c r="Q37" s="264">
        <f>LEN(P37)</f>
        <v>24</v>
      </c>
      <c r="R37" s="264" t="str">
        <f>IF(ISERROR(Q37),"",IF(Q37=0,"","注:"&amp;LEFT(P37,Q37-1)&amp;"は端数処理により０％になっている。"))</f>
        <v>注:退職療養給付費・療養費・移送費,退職保険給付費は端数処理により０％になっている。</v>
      </c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</row>
    <row r="38" spans="14:48" ht="13.5" customHeight="1">
      <c r="N38" s="297" t="s">
        <v>295</v>
      </c>
      <c r="T38" s="297"/>
    </row>
    <row r="39" spans="14:48" ht="13.5" customHeight="1" thickBot="1">
      <c r="N39" s="298" t="s">
        <v>296</v>
      </c>
      <c r="O39" s="299" t="s">
        <v>329</v>
      </c>
      <c r="P39" s="354" t="s">
        <v>330</v>
      </c>
      <c r="Q39" s="355" t="s">
        <v>331</v>
      </c>
      <c r="R39" s="355" t="s">
        <v>332</v>
      </c>
      <c r="S39" s="356" t="s">
        <v>333</v>
      </c>
      <c r="T39" s="357" t="s">
        <v>334</v>
      </c>
      <c r="U39" s="358" t="s">
        <v>335</v>
      </c>
      <c r="V39" s="1256" t="s">
        <v>319</v>
      </c>
      <c r="W39" s="360" t="s">
        <v>336</v>
      </c>
      <c r="X39" s="361" t="s">
        <v>337</v>
      </c>
      <c r="Y39" s="264"/>
      <c r="Z39" s="264"/>
      <c r="AA39" s="264"/>
      <c r="AB39" s="264"/>
      <c r="AC39" s="264"/>
    </row>
    <row r="40" spans="14:48" ht="13.5" customHeight="1" thickBot="1">
      <c r="O40" s="300" t="s">
        <v>292</v>
      </c>
      <c r="P40" s="362" t="str">
        <f>TEXT(P35,"#,##0.00;-#,##0.00;#")</f>
        <v>1.96</v>
      </c>
      <c r="Q40" s="319" t="str">
        <f>TEXT(U35,"#,##0.00;-#,##0.00;#")</f>
        <v>62.67</v>
      </c>
      <c r="R40" s="319" t="str">
        <f>TEXT(Y35,"#,##0.00;-#,##0.00;#")</f>
        <v/>
      </c>
      <c r="S40" s="362" t="str">
        <f>TEXT(Z35,"#,##0.00;-#,##0.00;#")</f>
        <v>0.25</v>
      </c>
      <c r="T40" s="319" t="str">
        <f>TEXT(AD35,"#,##0.00;-#,##0.00;#")</f>
        <v>32.74</v>
      </c>
      <c r="U40" s="362" t="str">
        <f>TEXT(AE35,"#,##0.00;-#,##0.00;#")</f>
        <v/>
      </c>
      <c r="V40" s="362" t="str">
        <f>TEXT(AF35,"#,##0.00;-#,##0.00;#")</f>
        <v>0.83</v>
      </c>
      <c r="W40" s="319" t="str">
        <f>TEXT(AG35,"#,##0.00;-#,##0.00;#")</f>
        <v>0.66</v>
      </c>
      <c r="X40" s="362" t="str">
        <f>TEXT(AH35,"#,##0.00;-#,##0.00;#")</f>
        <v>1.56</v>
      </c>
      <c r="Y40" s="264"/>
      <c r="Z40" s="264"/>
      <c r="AA40" s="264"/>
      <c r="AB40" s="264"/>
      <c r="AC40" s="264"/>
    </row>
    <row r="41" spans="14:48" ht="13.5" customHeight="1">
      <c r="O41" s="264" t="s">
        <v>302</v>
      </c>
      <c r="P41" s="363"/>
      <c r="Q41" s="363" t="str">
        <f>Q39&amp;Q40&amp;"%"</f>
        <v>一般保険
給付費
62.67%</v>
      </c>
      <c r="R41" s="363" t="str">
        <f>R39&amp;R40&amp;"%"</f>
        <v xml:space="preserve"> 退職保険給付費
%</v>
      </c>
      <c r="S41" s="364"/>
      <c r="T41" s="363" t="str">
        <f>T39&amp;T40&amp;"%"</f>
        <v>国民健康保険
事業費納付金
32.74%</v>
      </c>
      <c r="U41" s="363"/>
      <c r="V41" s="363"/>
      <c r="W41" s="363"/>
      <c r="X41" s="363"/>
      <c r="Y41" s="264"/>
      <c r="Z41" s="264"/>
    </row>
    <row r="42" spans="14:48" ht="13.5" customHeight="1">
      <c r="O42" s="264" t="s">
        <v>303</v>
      </c>
      <c r="P42" s="305">
        <f>ROUND(P35,1)</f>
        <v>2</v>
      </c>
      <c r="Q42" s="305">
        <f>ROUND(U35,1)</f>
        <v>62.7</v>
      </c>
      <c r="R42" s="320">
        <f>ROUND(Y35,1)</f>
        <v>0</v>
      </c>
      <c r="S42" s="305">
        <f>ROUND(Z35,1)</f>
        <v>0.3</v>
      </c>
      <c r="T42" s="305">
        <f>ROUND(AD35,1)</f>
        <v>32.700000000000003</v>
      </c>
      <c r="U42" s="305">
        <f>ROUND(AE35,1)</f>
        <v>0</v>
      </c>
      <c r="V42" s="305">
        <f>ROUND(AF35,1)</f>
        <v>0.8</v>
      </c>
      <c r="W42" s="305">
        <f>ROUND(AG35,1)</f>
        <v>0.7</v>
      </c>
      <c r="X42" s="305">
        <f>ROUND(100-SUM(P42:W42),1)</f>
        <v>0.8</v>
      </c>
      <c r="Y42" s="305"/>
    </row>
    <row r="43" spans="14:48" ht="13.5" customHeight="1">
      <c r="N43" s="297" t="s">
        <v>295</v>
      </c>
      <c r="O43" s="264"/>
      <c r="P43" s="365"/>
      <c r="Q43" s="366" t="s">
        <v>338</v>
      </c>
      <c r="R43" s="367"/>
      <c r="S43" s="367"/>
      <c r="T43" s="368"/>
      <c r="U43" s="366" t="s">
        <v>339</v>
      </c>
      <c r="V43" s="367"/>
      <c r="W43" s="368"/>
      <c r="X43" s="264"/>
      <c r="Y43" s="369" t="s">
        <v>317</v>
      </c>
      <c r="Z43" s="370"/>
      <c r="AA43" s="370"/>
      <c r="AB43" s="371"/>
      <c r="AC43" s="264"/>
      <c r="AD43" s="264"/>
      <c r="AE43" s="264"/>
      <c r="AF43" s="264"/>
    </row>
    <row r="44" spans="14:48" ht="13.5" customHeight="1" thickBot="1">
      <c r="N44" s="298" t="s">
        <v>304</v>
      </c>
      <c r="O44" s="299" t="s">
        <v>305</v>
      </c>
      <c r="P44" s="372" t="s">
        <v>330</v>
      </c>
      <c r="Q44" s="373" t="s">
        <v>340</v>
      </c>
      <c r="R44" s="374" t="s">
        <v>341</v>
      </c>
      <c r="S44" s="374" t="s">
        <v>342</v>
      </c>
      <c r="T44" s="1257" t="s">
        <v>301</v>
      </c>
      <c r="U44" s="374" t="s">
        <v>343</v>
      </c>
      <c r="V44" s="1258" t="s">
        <v>344</v>
      </c>
      <c r="W44" s="1259" t="s">
        <v>345</v>
      </c>
      <c r="X44" s="1260" t="s">
        <v>346</v>
      </c>
      <c r="Y44" s="1261" t="s">
        <v>347</v>
      </c>
      <c r="Z44" s="1262" t="s">
        <v>348</v>
      </c>
      <c r="AA44" s="1262" t="s">
        <v>349</v>
      </c>
      <c r="AB44" s="1262" t="s">
        <v>335</v>
      </c>
      <c r="AC44" s="1281" t="s">
        <v>350</v>
      </c>
      <c r="AD44" s="1282" t="s">
        <v>336</v>
      </c>
      <c r="AE44" s="1280" t="s">
        <v>351</v>
      </c>
    </row>
    <row r="45" spans="14:48" ht="13.5" customHeight="1" thickBot="1">
      <c r="O45" s="318" t="s">
        <v>292</v>
      </c>
      <c r="P45" s="319" t="str">
        <f>TEXT(P35,"#,##0.00;-#,##0.00;#")</f>
        <v>1.96</v>
      </c>
      <c r="Q45" s="319" t="str">
        <f>TEXT(Q35,"#,##0.00;-#,##0.00;#")</f>
        <v>54.45</v>
      </c>
      <c r="R45" s="319" t="str">
        <f>TEXT(R35,"#,##0.00;-#,##0.00;#")</f>
        <v>7.74</v>
      </c>
      <c r="S45" s="319" t="str">
        <f>TEXT(S35,"#,##0.00;-#,##0.00;#")</f>
        <v>0.01</v>
      </c>
      <c r="T45" s="382" t="str">
        <f>TEXT(ROUND(U35-(Q35+R35+S35),2),"#,##0.00;-#,##0.00;#")</f>
        <v>0.47</v>
      </c>
      <c r="U45" s="319" t="str">
        <f>TEXT(V35,"#,##0.00;-#,##0.00;#")</f>
        <v/>
      </c>
      <c r="V45" s="319" t="str">
        <f>TEXT(W35,"#,##0.00;-#,##0.00;#")</f>
        <v/>
      </c>
      <c r="W45" s="319" t="str">
        <f>TEXT(X35,"#,##0.00;-#,##0.00;#")</f>
        <v/>
      </c>
      <c r="X45" s="319" t="str">
        <f>TEXT(Z35,"#,##0.00;-#,##0.00;#")</f>
        <v>0.25</v>
      </c>
      <c r="Y45" s="319" t="str">
        <f>TEXT(AA35,"#,##0.00;-#,##0.00;#")</f>
        <v>22.02</v>
      </c>
      <c r="Z45" s="319" t="str">
        <f>TEXT(AB35,"#,##0.00;-#,##0.00;#")</f>
        <v>7.34</v>
      </c>
      <c r="AA45" s="319" t="str">
        <f>TEXT(AC35,"#,##0.00;-#,##0.00;#")</f>
        <v>3.37</v>
      </c>
      <c r="AB45" s="319" t="str">
        <f>TEXT(AE35,"#,##0.00;-#,##0.00;#")</f>
        <v/>
      </c>
      <c r="AC45" s="319" t="str">
        <f>TEXT(AF35,"#,##0.00;-#,##0.00;#")</f>
        <v>0.83</v>
      </c>
      <c r="AD45" s="319" t="str">
        <f>TEXT(AG35,"#,##0.00;-#,##0.00;#")</f>
        <v>0.66</v>
      </c>
      <c r="AE45" s="319" t="str">
        <f>TEXT(AH35,"#,##0.00;-#,##0.00;#")</f>
        <v>1.56</v>
      </c>
    </row>
    <row r="46" spans="14:48" ht="13.5" customHeight="1">
      <c r="O46" s="264" t="s">
        <v>302</v>
      </c>
      <c r="P46" s="264" t="str">
        <f>P44&amp;P45&amp;"%"</f>
        <v xml:space="preserve"> 総務費 1.96%</v>
      </c>
      <c r="Q46" s="264" t="str">
        <f>Q44&amp;Q45&amp;"%"</f>
        <v>療養給付費・
療養費・移送費
54.45%</v>
      </c>
      <c r="R46" s="264" t="str">
        <f>R44&amp;R45&amp;"%"</f>
        <v xml:space="preserve"> 高額療養費
7.74%</v>
      </c>
      <c r="S46" s="264" t="str">
        <f>IF(S36&lt;&gt;"","",S44&amp;S45&amp;"%")</f>
        <v>高額介護
合算療養費 0.01%</v>
      </c>
      <c r="T46" s="264" t="str">
        <f t="shared" ref="T46:AA46" si="9">T44&amp;T45&amp;"%"</f>
        <v xml:space="preserve"> その他 0.47%</v>
      </c>
      <c r="U46" s="264" t="str">
        <f t="shared" si="9"/>
        <v>療養給付費・療養費
・移送費 %</v>
      </c>
      <c r="V46" s="264" t="str">
        <f t="shared" si="9"/>
        <v xml:space="preserve"> 高額療養費 %</v>
      </c>
      <c r="W46" s="264" t="str">
        <f>IF(X35=0,"データなし",W44&amp;W45&amp;"%")</f>
        <v>データなし</v>
      </c>
      <c r="X46" s="264" t="str">
        <f t="shared" si="9"/>
        <v xml:space="preserve"> 審査支払手数料 0.25%</v>
      </c>
      <c r="Y46" s="264" t="str">
        <f t="shared" si="9"/>
        <v>医療給付分
22.02%</v>
      </c>
      <c r="Z46" s="264" t="str">
        <f t="shared" si="9"/>
        <v>後期高齢者分 7.34%</v>
      </c>
      <c r="AA46" s="264" t="str">
        <f t="shared" si="9"/>
        <v>介護納付金分 3.37%</v>
      </c>
      <c r="AB46" s="383" t="str">
        <f>IF(AE35=0,"データなし",AB44&amp;AB45&amp;"%")</f>
        <v>データなし</v>
      </c>
      <c r="AC46" s="264" t="str">
        <f>AC44&amp;AC45&amp;"%"</f>
        <v xml:space="preserve"> 保健事業費 0.83%</v>
      </c>
      <c r="AD46" s="264" t="str">
        <f>IF(AG35=0,"データなし",AD44&amp;AD45&amp;"%")</f>
        <v>保険給付費等交付金償還金0.66%</v>
      </c>
      <c r="AE46" s="264" t="str">
        <f>AE44&amp;AE45&amp;"%"</f>
        <v xml:space="preserve"> その他の支出  1.56%</v>
      </c>
    </row>
    <row r="47" spans="14:48" ht="13.5" customHeight="1">
      <c r="O47" s="264" t="s">
        <v>303</v>
      </c>
      <c r="P47" s="305">
        <f>ROUND(P35,1)</f>
        <v>2</v>
      </c>
      <c r="Q47" s="305">
        <f>ROUND(Q35,1)</f>
        <v>54.5</v>
      </c>
      <c r="R47" s="305">
        <f>ROUND(R35,1)</f>
        <v>7.7</v>
      </c>
      <c r="S47" s="305">
        <f>ROUND(S35,1)</f>
        <v>0</v>
      </c>
      <c r="T47" s="305">
        <f>ROUND(Q42-(Q47+R47+S47),1)</f>
        <v>0.5</v>
      </c>
      <c r="U47" s="305">
        <f>ROUND(V35,1)</f>
        <v>0</v>
      </c>
      <c r="V47" s="320">
        <f>ROUND(R42-U47-W47,1)</f>
        <v>0</v>
      </c>
      <c r="W47" s="305">
        <f>ROUND(X35,1)</f>
        <v>0</v>
      </c>
      <c r="X47" s="305">
        <f>ROUND(Z35,1)</f>
        <v>0.3</v>
      </c>
      <c r="Y47" s="305">
        <f>ROUND(AA35,1)</f>
        <v>22</v>
      </c>
      <c r="Z47" s="305">
        <f>ROUND(AB35,1)</f>
        <v>7.3</v>
      </c>
      <c r="AA47" s="305">
        <f>ROUND(AC35,1)</f>
        <v>3.4</v>
      </c>
      <c r="AB47" s="305">
        <f>ROUND(AE35,1)</f>
        <v>0</v>
      </c>
      <c r="AC47" s="305">
        <f>ROUND(AF35,1)</f>
        <v>0.8</v>
      </c>
      <c r="AD47" s="305">
        <f>ROUND(AG35,1)</f>
        <v>0.7</v>
      </c>
      <c r="AE47" s="305">
        <f>ROUND(100-SUM(P47:AD47),1)</f>
        <v>0.8</v>
      </c>
    </row>
    <row r="48" spans="14:48" ht="13.5" customHeight="1">
      <c r="V48" s="297" t="s">
        <v>352</v>
      </c>
    </row>
    <row r="49" spans="1:40" ht="13.5" customHeight="1">
      <c r="N49" s="297" t="s">
        <v>235</v>
      </c>
      <c r="O49" s="321" t="s">
        <v>311</v>
      </c>
      <c r="P49" s="244" t="str">
        <f>"{"&amp;""""&amp;P41&amp;""""&amp;","&amp;""""&amp;Q41&amp;""""&amp;","&amp;""""&amp;R41&amp;""""&amp;","&amp;""""&amp;S41&amp;""""&amp;","&amp;""""&amp;T41&amp;""""&amp;","&amp;""""&amp;U41&amp;""""&amp;","&amp;""""&amp;V41&amp;""""&amp;","&amp;""""&amp;W41&amp;""""&amp;","&amp;""""&amp;X41&amp;""""&amp;","&amp;""""&amp;Y41&amp;""""&amp;","&amp;""""&amp;Z41&amp;""""&amp;"}"</f>
        <v>{"","一般保険
給付費
62.67%"," 退職保険給付費
%","","国民健康保険
事業費納付金
32.74%","","","","","",""}</v>
      </c>
      <c r="Q49" s="244" t="str">
        <f>"{"&amp;P42&amp;","&amp;Q42&amp;","&amp;R42&amp;","&amp;S42&amp;","&amp;T42&amp;","&amp;U42&amp;","&amp;V42&amp;","&amp;W42&amp;","&amp;X42&amp;"}"</f>
        <v>{2,62.7,0,0.3,32.7,0,0.8,0.7,0.8}</v>
      </c>
    </row>
    <row r="50" spans="1:40" ht="13.5" customHeight="1">
      <c r="O50" s="321" t="s">
        <v>312</v>
      </c>
      <c r="P50" s="244" t="str">
        <f>"{"&amp;""""&amp;P46&amp;""""&amp;","&amp;""""&amp;Q46&amp;""""&amp;","&amp;""""&amp;R46&amp;""""&amp;","&amp;""""&amp;S46&amp;""""&amp;","&amp;""""&amp;T46&amp;""""&amp;","&amp;""""&amp;U46&amp;""""&amp;","&amp;""""&amp;V46&amp;""""&amp;","&amp;""""&amp;W46&amp;""""&amp;","&amp;""""&amp;X46&amp;""""&amp;","&amp;""""&amp;Y46&amp;""""&amp;","&amp;""""&amp;Z46&amp;""""&amp;","&amp;""""&amp;AA46&amp;""""&amp;","&amp;""""&amp;AB46&amp;""""&amp;","&amp;""""&amp;AC46&amp;""""&amp;","&amp;""""&amp;AD46&amp;""""&amp;","&amp;""""&amp;AE46&amp;""""&amp;"}"</f>
        <v>{" 総務費 1.96%","療養給付費・
療養費・移送費
54.45%"," 高額療養費
7.74%","高額介護
合算療養費 0.01%"," その他 0.47%","療養給付費・療養費
・移送費 %"," 高額療養費 %","データなし"," 審査支払手数料 0.25%","医療給付分
22.02%","後期高齢者分 7.34%","介護納付金分 3.37%","データなし"," 保健事業費 0.83%","保険給付費等交付金償還金0.66%"," その他の支出  1.56%"}</v>
      </c>
      <c r="Q50" s="244" t="str">
        <f>"{"&amp;P47&amp;","&amp;Q47&amp;","&amp;R47&amp;","&amp;S47&amp;","&amp;T47&amp;","&amp;U47&amp;","&amp;V47&amp;","&amp;W47&amp;","&amp;X47&amp;","&amp;Y47&amp;","&amp;Z47&amp;","&amp;AA47&amp;","&amp;AB47&amp;","&amp;AC47&amp;","&amp;AD47&amp;","&amp;AE47&amp;"}"</f>
        <v>{2,54.5,7.7,0,0.5,0,0,0,0.3,22,7.3,3.4,0,0.8,0.7,0.8}</v>
      </c>
    </row>
    <row r="52" spans="1:40" ht="13.5" customHeight="1">
      <c r="O52" s="244" t="str">
        <f>TEXT(O33,"#,##0")&amp;CHAR(10)&amp;N33</f>
        <v>896,004
百万円</v>
      </c>
    </row>
    <row r="59" spans="1:40" ht="17.25" customHeight="1">
      <c r="B59" s="1842" t="str">
        <f>R37</f>
        <v>注:退職療養給付費・療養費・移送費,退職保険給付費は端数処理により０％になっている。</v>
      </c>
      <c r="C59" s="1842"/>
      <c r="D59" s="1842"/>
      <c r="E59" s="1842"/>
      <c r="F59" s="1842"/>
      <c r="G59" s="1842"/>
      <c r="H59" s="1842"/>
      <c r="I59" s="1842"/>
      <c r="J59" s="1842"/>
      <c r="K59" s="1842"/>
      <c r="L59" s="524"/>
    </row>
    <row r="60" spans="1:40" ht="15.75" customHeight="1">
      <c r="A60" s="516" t="s">
        <v>542</v>
      </c>
      <c r="C60" s="243"/>
      <c r="L60" s="812" t="str">
        <f>DBCS(情報!$D$2)</f>
        <v>令和３年度</v>
      </c>
      <c r="N60" s="245" t="s">
        <v>264</v>
      </c>
      <c r="O60" s="246"/>
      <c r="P60" s="246"/>
      <c r="Q60" s="246"/>
    </row>
    <row r="61" spans="1:40" ht="13.5" customHeight="1">
      <c r="A61" s="534"/>
      <c r="B61" s="243"/>
      <c r="N61" s="246" t="s">
        <v>265</v>
      </c>
      <c r="O61" s="246"/>
      <c r="P61" s="246"/>
      <c r="Q61" s="246"/>
      <c r="R61" s="246"/>
      <c r="S61" s="246"/>
      <c r="T61" s="246"/>
    </row>
    <row r="62" spans="1:40" ht="13.5" customHeight="1" thickBot="1">
      <c r="I62" s="1828" t="str">
        <f>AA64&amp;"("&amp;TEXT(AA68,"#,##0.00;-#,##0.00;#")&amp;"%)内訳"</f>
        <v>都道府県支出金(66.82%)内訳</v>
      </c>
      <c r="J62" s="1829"/>
      <c r="K62" s="1829"/>
      <c r="L62" s="1830"/>
      <c r="N62" s="244" t="str">
        <f>情報!D2&amp;"財政収支状況(市町村)"</f>
        <v>令和3年度財政収支状況(市町村)</v>
      </c>
    </row>
    <row r="63" spans="1:40" ht="19.5" customHeight="1" thickBot="1">
      <c r="I63" s="1831" t="s">
        <v>266</v>
      </c>
      <c r="J63" s="517" t="str">
        <f>T65</f>
        <v>普通交付金</v>
      </c>
      <c r="K63" s="518"/>
      <c r="L63" s="519" t="str">
        <f>TEXT(T68,"#,##0.00;-#,##0.00;0.00")&amp;"%"</f>
        <v>64.79%</v>
      </c>
      <c r="O63" s="1266" t="s">
        <v>614</v>
      </c>
      <c r="P63" s="1267" t="s">
        <v>615</v>
      </c>
      <c r="Q63" s="1267" t="s">
        <v>616</v>
      </c>
      <c r="R63" s="1267" t="s">
        <v>617</v>
      </c>
      <c r="S63" s="1267" t="s">
        <v>618</v>
      </c>
      <c r="T63" s="1268" t="s">
        <v>619</v>
      </c>
      <c r="U63" s="1268" t="s">
        <v>620</v>
      </c>
      <c r="V63" s="1268" t="s">
        <v>621</v>
      </c>
      <c r="W63" s="1268" t="s">
        <v>622</v>
      </c>
      <c r="X63" s="1268" t="s">
        <v>623</v>
      </c>
      <c r="Y63" s="1268" t="s">
        <v>624</v>
      </c>
      <c r="Z63" s="1268" t="s">
        <v>625</v>
      </c>
      <c r="AA63" s="1268" t="s">
        <v>626</v>
      </c>
      <c r="AB63" s="1267" t="s">
        <v>627</v>
      </c>
      <c r="AC63" s="1269" t="s">
        <v>628</v>
      </c>
      <c r="AD63" s="1269" t="s">
        <v>629</v>
      </c>
      <c r="AE63" s="1269" t="s">
        <v>630</v>
      </c>
      <c r="AF63" s="1269" t="s">
        <v>631</v>
      </c>
      <c r="AG63" s="1269" t="s">
        <v>632</v>
      </c>
      <c r="AH63" s="1269" t="s">
        <v>633</v>
      </c>
      <c r="AI63" s="1265" t="s">
        <v>670</v>
      </c>
      <c r="AJ63" s="1270" t="s">
        <v>634</v>
      </c>
      <c r="AK63" s="1270" t="s">
        <v>635</v>
      </c>
      <c r="AL63" s="1270" t="s">
        <v>636</v>
      </c>
      <c r="AM63" s="1270" t="s">
        <v>637</v>
      </c>
      <c r="AN63" s="1278" t="s">
        <v>671</v>
      </c>
    </row>
    <row r="64" spans="1:40" ht="19.5" customHeight="1" thickBot="1">
      <c r="I64" s="1832"/>
      <c r="J64" s="1831" t="s">
        <v>267</v>
      </c>
      <c r="K64" s="520" t="str">
        <f>U65</f>
        <v>保険者努力支援分</v>
      </c>
      <c r="L64" s="519" t="str">
        <f>TEXT(U68,"#,##0.00;-#,##0.00;0.00")&amp;"%"</f>
        <v>0.35%</v>
      </c>
      <c r="N64" s="247" t="s">
        <v>268</v>
      </c>
      <c r="O64" s="248" t="s">
        <v>138</v>
      </c>
      <c r="P64" s="249"/>
      <c r="Q64" s="249"/>
      <c r="R64" s="250" t="s">
        <v>269</v>
      </c>
      <c r="S64" s="251" t="s">
        <v>270</v>
      </c>
      <c r="T64" s="252" t="s">
        <v>271</v>
      </c>
      <c r="U64" s="253"/>
      <c r="V64" s="253"/>
      <c r="W64" s="253"/>
      <c r="X64" s="253"/>
      <c r="Y64" s="252"/>
      <c r="Z64" s="254"/>
      <c r="AA64" s="252" t="s">
        <v>271</v>
      </c>
      <c r="AB64" s="255" t="s">
        <v>272</v>
      </c>
      <c r="AC64" s="256" t="s">
        <v>273</v>
      </c>
      <c r="AD64" s="257"/>
      <c r="AE64" s="258"/>
      <c r="AF64" s="259"/>
      <c r="AG64" s="259"/>
      <c r="AH64" s="260"/>
      <c r="AI64" s="261" t="s">
        <v>274</v>
      </c>
      <c r="AJ64" s="262" t="s">
        <v>98</v>
      </c>
      <c r="AK64" s="263"/>
      <c r="AL64" s="263"/>
      <c r="AM64" s="263"/>
      <c r="AN64" s="262" t="s">
        <v>98</v>
      </c>
    </row>
    <row r="65" spans="9:46" ht="19.5" customHeight="1">
      <c r="I65" s="1832"/>
      <c r="J65" s="1832"/>
      <c r="K65" s="520" t="str">
        <f>V65</f>
        <v>特別調整交付金分</v>
      </c>
      <c r="L65" s="519" t="str">
        <f>TEXT(V68,"#,##0.00;-#,##0.00;0.00")&amp;"%"</f>
        <v>0.37%</v>
      </c>
      <c r="N65" s="264"/>
      <c r="O65" s="265" t="s">
        <v>275</v>
      </c>
      <c r="P65" s="266" t="s">
        <v>276</v>
      </c>
      <c r="Q65" s="266" t="s">
        <v>277</v>
      </c>
      <c r="R65" s="267"/>
      <c r="S65" s="268"/>
      <c r="T65" s="269" t="s">
        <v>278</v>
      </c>
      <c r="U65" s="270" t="s">
        <v>279</v>
      </c>
      <c r="V65" s="270" t="s">
        <v>280</v>
      </c>
      <c r="W65" s="270" t="s">
        <v>281</v>
      </c>
      <c r="X65" s="270" t="s">
        <v>282</v>
      </c>
      <c r="Y65" s="271" t="s">
        <v>283</v>
      </c>
      <c r="Z65" s="271" t="s">
        <v>284</v>
      </c>
      <c r="AA65" s="271"/>
      <c r="AB65" s="272"/>
      <c r="AC65" s="273" t="s">
        <v>285</v>
      </c>
      <c r="AD65" s="273" t="s">
        <v>286</v>
      </c>
      <c r="AE65" s="273" t="s">
        <v>99</v>
      </c>
      <c r="AF65" s="273" t="s">
        <v>100</v>
      </c>
      <c r="AG65" s="273" t="s">
        <v>287</v>
      </c>
      <c r="AH65" s="273" t="s">
        <v>98</v>
      </c>
      <c r="AI65" s="274"/>
      <c r="AJ65" s="275" t="s">
        <v>288</v>
      </c>
      <c r="AK65" s="276" t="s">
        <v>101</v>
      </c>
      <c r="AL65" s="276" t="s">
        <v>289</v>
      </c>
      <c r="AM65" s="277" t="s">
        <v>98</v>
      </c>
      <c r="AN65" s="278"/>
    </row>
    <row r="66" spans="9:46" ht="19.5" customHeight="1">
      <c r="I66" s="1832"/>
      <c r="J66" s="1832"/>
      <c r="K66" s="525" t="str">
        <f>W65</f>
        <v>都道府県繰入金(2号分)</v>
      </c>
      <c r="L66" s="519" t="str">
        <f>TEXT(W68,"#,##0.00;-#,##0.00;0.00")&amp;"%"</f>
        <v>0.53%</v>
      </c>
      <c r="N66" s="264" t="s">
        <v>290</v>
      </c>
      <c r="O66" s="1550">
        <v>417626</v>
      </c>
      <c r="P66" s="1550">
        <v>83547</v>
      </c>
      <c r="Q66" s="1551">
        <v>6</v>
      </c>
      <c r="R66" s="1551">
        <v>83553</v>
      </c>
      <c r="S66" s="1551">
        <v>366</v>
      </c>
      <c r="T66" s="1552">
        <v>270591</v>
      </c>
      <c r="U66" s="1552">
        <v>1479</v>
      </c>
      <c r="V66" s="1552">
        <v>1549</v>
      </c>
      <c r="W66" s="1552">
        <v>2228</v>
      </c>
      <c r="X66" s="1552">
        <v>1217</v>
      </c>
      <c r="Y66" s="1552">
        <v>0</v>
      </c>
      <c r="Z66" s="1552">
        <v>2060</v>
      </c>
      <c r="AA66" s="1552">
        <v>279124</v>
      </c>
      <c r="AB66" s="1552">
        <v>0</v>
      </c>
      <c r="AC66" s="1552">
        <v>9680</v>
      </c>
      <c r="AD66" s="1552">
        <v>6148</v>
      </c>
      <c r="AE66" s="1552">
        <v>5100</v>
      </c>
      <c r="AF66" s="1553">
        <v>730</v>
      </c>
      <c r="AG66" s="1553">
        <v>285</v>
      </c>
      <c r="AH66" s="1553">
        <v>24172</v>
      </c>
      <c r="AI66" s="1554">
        <f>SUM(AC66:AH66)</f>
        <v>46115</v>
      </c>
      <c r="AJ66" s="1553">
        <v>1176</v>
      </c>
      <c r="AK66" s="1553">
        <v>6109</v>
      </c>
      <c r="AL66" s="1553">
        <v>0</v>
      </c>
      <c r="AM66" s="1553">
        <v>1182</v>
      </c>
      <c r="AN66" s="1555">
        <f>SUM(AJ66:AM66)</f>
        <v>8467</v>
      </c>
    </row>
    <row r="67" spans="9:46" ht="19.5" customHeight="1" thickBot="1">
      <c r="I67" s="1833"/>
      <c r="J67" s="1833"/>
      <c r="K67" s="525" t="str">
        <f>X65</f>
        <v>特定健康診査等負担金</v>
      </c>
      <c r="L67" s="519" t="str">
        <f>TEXT(X68,"#,##0.00;-#,##0.00;0.00")&amp;"%"</f>
        <v>0.29%</v>
      </c>
      <c r="N67" s="279" t="s">
        <v>291</v>
      </c>
      <c r="O67" s="264"/>
      <c r="P67" s="280">
        <f t="shared" ref="P67:AG67" si="10">ROUND(P66/$O66*100,3)</f>
        <v>20.004999999999999</v>
      </c>
      <c r="Q67" s="280">
        <f t="shared" si="10"/>
        <v>1E-3</v>
      </c>
      <c r="R67" s="280">
        <f t="shared" si="10"/>
        <v>20.007000000000001</v>
      </c>
      <c r="S67" s="280">
        <f t="shared" si="10"/>
        <v>8.7999999999999995E-2</v>
      </c>
      <c r="T67" s="281">
        <f t="shared" si="10"/>
        <v>64.793000000000006</v>
      </c>
      <c r="U67" s="281">
        <f t="shared" si="10"/>
        <v>0.35399999999999998</v>
      </c>
      <c r="V67" s="281">
        <f t="shared" si="10"/>
        <v>0.371</v>
      </c>
      <c r="W67" s="281">
        <f t="shared" si="10"/>
        <v>0.53300000000000003</v>
      </c>
      <c r="X67" s="281">
        <f t="shared" si="10"/>
        <v>0.29099999999999998</v>
      </c>
      <c r="Y67" s="281">
        <f t="shared" si="10"/>
        <v>0</v>
      </c>
      <c r="Z67" s="281">
        <f t="shared" si="10"/>
        <v>0.49299999999999999</v>
      </c>
      <c r="AA67" s="281">
        <f t="shared" si="10"/>
        <v>66.835999999999999</v>
      </c>
      <c r="AB67" s="280">
        <f t="shared" si="10"/>
        <v>0</v>
      </c>
      <c r="AC67" s="282">
        <f t="shared" si="10"/>
        <v>2.3180000000000001</v>
      </c>
      <c r="AD67" s="282">
        <f t="shared" si="10"/>
        <v>1.472</v>
      </c>
      <c r="AE67" s="282">
        <f t="shared" si="10"/>
        <v>1.2210000000000001</v>
      </c>
      <c r="AF67" s="282">
        <f t="shared" si="10"/>
        <v>0.17499999999999999</v>
      </c>
      <c r="AG67" s="282">
        <f t="shared" si="10"/>
        <v>6.8000000000000005E-2</v>
      </c>
      <c r="AH67" s="282">
        <f>ROUND(AH66/$O66*100,3)+0.01</f>
        <v>5.798</v>
      </c>
      <c r="AI67" s="282">
        <f t="shared" ref="AI67:AN67" si="11">ROUND(AI66/$O66*100,3)</f>
        <v>11.042</v>
      </c>
      <c r="AJ67" s="283">
        <f t="shared" si="11"/>
        <v>0.28199999999999997</v>
      </c>
      <c r="AK67" s="283">
        <f t="shared" si="11"/>
        <v>1.4630000000000001</v>
      </c>
      <c r="AL67" s="283">
        <f t="shared" si="11"/>
        <v>0</v>
      </c>
      <c r="AM67" s="283">
        <f t="shared" si="11"/>
        <v>0.28299999999999997</v>
      </c>
      <c r="AN67" s="283">
        <f t="shared" si="11"/>
        <v>2.0270000000000001</v>
      </c>
    </row>
    <row r="68" spans="9:46" ht="13.5" customHeight="1" thickBot="1">
      <c r="I68" s="1834" t="str">
        <f>Y65</f>
        <v>財政安定化基金交付金</v>
      </c>
      <c r="J68" s="1835"/>
      <c r="K68" s="1836"/>
      <c r="L68" s="519" t="str">
        <f>TEXT(Y68,"#,##0.00;-#,##0.00;0.00")&amp;"%"</f>
        <v>0.00%</v>
      </c>
      <c r="N68" s="279" t="s">
        <v>291</v>
      </c>
      <c r="O68" s="284" t="s">
        <v>292</v>
      </c>
      <c r="P68" s="285">
        <f>ROUND(P66/$O66*100,2)</f>
        <v>20.010000000000002</v>
      </c>
      <c r="Q68" s="285">
        <f>ROUND(Q66/$O66*100,2)</f>
        <v>0</v>
      </c>
      <c r="R68" s="286">
        <f>SUM(P68:Q68)</f>
        <v>20.010000000000002</v>
      </c>
      <c r="S68" s="285">
        <f t="shared" ref="S68:Z68" si="12">ROUND(S66/$O66*100,2)</f>
        <v>0.09</v>
      </c>
      <c r="T68" s="287">
        <f t="shared" si="12"/>
        <v>64.790000000000006</v>
      </c>
      <c r="U68" s="287">
        <f t="shared" si="12"/>
        <v>0.35</v>
      </c>
      <c r="V68" s="287">
        <f t="shared" si="12"/>
        <v>0.37</v>
      </c>
      <c r="W68" s="287">
        <f t="shared" si="12"/>
        <v>0.53</v>
      </c>
      <c r="X68" s="287">
        <f t="shared" si="12"/>
        <v>0.28999999999999998</v>
      </c>
      <c r="Y68" s="287">
        <f t="shared" si="12"/>
        <v>0</v>
      </c>
      <c r="Z68" s="287">
        <f t="shared" si="12"/>
        <v>0.49</v>
      </c>
      <c r="AA68" s="287">
        <f>SUM(T68:Z68)</f>
        <v>66.820000000000007</v>
      </c>
      <c r="AB68" s="285">
        <f t="shared" ref="AB68:AG68" si="13">ROUND(AB66/$O66*100,2)</f>
        <v>0</v>
      </c>
      <c r="AC68" s="288">
        <f t="shared" si="13"/>
        <v>2.3199999999999998</v>
      </c>
      <c r="AD68" s="288">
        <f t="shared" si="13"/>
        <v>1.47</v>
      </c>
      <c r="AE68" s="288">
        <f t="shared" si="13"/>
        <v>1.22</v>
      </c>
      <c r="AF68" s="288">
        <f t="shared" si="13"/>
        <v>0.17</v>
      </c>
      <c r="AG68" s="288">
        <f t="shared" si="13"/>
        <v>7.0000000000000007E-2</v>
      </c>
      <c r="AH68" s="288">
        <f>ROUND(AI68-SUM(AC68:AG68),2)</f>
        <v>5.79</v>
      </c>
      <c r="AI68" s="288">
        <f>ROUND(AI66/$O66*100,2)</f>
        <v>11.04</v>
      </c>
      <c r="AJ68" s="289">
        <f>ROUND(AJ66/$O66*100,2)</f>
        <v>0.28000000000000003</v>
      </c>
      <c r="AK68" s="289">
        <f>ROUND(AK66/$O66*100,2)</f>
        <v>1.46</v>
      </c>
      <c r="AL68" s="289">
        <f>ROUND(AL66/$O66*100,2)</f>
        <v>0</v>
      </c>
      <c r="AM68" s="289">
        <f>ROUND(AM66/$O66*100,2)</f>
        <v>0.28000000000000003</v>
      </c>
      <c r="AN68" s="289">
        <f>ROUND(100-(R67+S67+AA67+AB67+AI68),2)</f>
        <v>2.0299999999999998</v>
      </c>
    </row>
    <row r="69" spans="9:46" ht="13.5" customHeight="1" thickBot="1">
      <c r="I69" s="1834" t="str">
        <f>Z65</f>
        <v>その他</v>
      </c>
      <c r="J69" s="1835"/>
      <c r="K69" s="1836"/>
      <c r="L69" s="519" t="str">
        <f>TEXT(Z68,"#,##0.00;-#,##0.00;0.00")&amp;"%"</f>
        <v>0.49%</v>
      </c>
      <c r="O69" s="290" t="s">
        <v>293</v>
      </c>
      <c r="P69" s="291" t="str">
        <f>IF(P68=0,P64&amp;P65&amp;",","")</f>
        <v/>
      </c>
      <c r="Q69" s="292" t="str">
        <f>IF(Q68=0,Q64&amp;Q65&amp;",","")</f>
        <v>退職,</v>
      </c>
      <c r="R69" s="292" t="str">
        <f>IF(AND(R68=0,R66&lt;&gt;0),R64&amp;R65&amp;",","")</f>
        <v/>
      </c>
      <c r="S69" s="292" t="str">
        <f>IF(AND(S68=0,S66&lt;&gt;0),S64&amp;S65&amp;",","")</f>
        <v/>
      </c>
      <c r="T69" s="293"/>
      <c r="U69" s="293"/>
      <c r="V69" s="293"/>
      <c r="W69" s="293"/>
      <c r="X69" s="293"/>
      <c r="Y69" s="293"/>
      <c r="Z69" s="293"/>
      <c r="AA69" s="293" t="str">
        <f>IF(AND(AA68=0,AA66&lt;&gt;0),AA64&amp;AA65&amp;",","")</f>
        <v/>
      </c>
      <c r="AB69" s="292" t="str">
        <f>IF(AND(AB68=0,AB66&lt;&gt;0),AB64&amp;AB65&amp;",","")</f>
        <v/>
      </c>
      <c r="AC69" s="294"/>
      <c r="AD69" s="294"/>
      <c r="AE69" s="294"/>
      <c r="AF69" s="294"/>
      <c r="AG69" s="294"/>
      <c r="AH69" s="294"/>
      <c r="AI69" s="294" t="str">
        <f>IF(AND(AI68=0,AI66&lt;&gt;0),AI64&amp;AI65&amp;",","")</f>
        <v/>
      </c>
      <c r="AJ69" s="295"/>
      <c r="AK69" s="295"/>
      <c r="AL69" s="295"/>
      <c r="AM69" s="295"/>
      <c r="AN69" s="295" t="str">
        <f>IF(AND(AN68=0,AN66&lt;&gt;0),AN64&amp;AN65&amp;",","")</f>
        <v/>
      </c>
    </row>
    <row r="70" spans="9:46" ht="13.5" customHeight="1">
      <c r="O70" s="264" t="s">
        <v>294</v>
      </c>
      <c r="P70" s="264" t="str">
        <f>P69&amp;Q69&amp;R69&amp;T69&amp;U69&amp;V69&amp;W69&amp;X69&amp;S69&amp;T69&amp;U69&amp;V69&amp;W69&amp;X69&amp;Y69&amp;Z69&amp;AA69&amp;AB69&amp;AC69&amp;AD69&amp;AE69&amp;AF69&amp;AG69&amp;AH69&amp;AI69&amp;AJ69&amp;AK69&amp;AL69&amp;AM69&amp;AN69</f>
        <v>退職,</v>
      </c>
      <c r="Q70" s="264">
        <f>LEN(P70)</f>
        <v>3</v>
      </c>
      <c r="R70" s="296" t="str">
        <f>IF(ISERROR(Q11),"",IF(Q70=0,"","注:"&amp;LEFT(P70,Q70-1)&amp;"は端数処理により０％になっている。"))</f>
        <v>注:退職は端数処理により０％になっている。</v>
      </c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</row>
    <row r="71" spans="9:46" ht="13.5" customHeight="1">
      <c r="N71" s="297" t="s">
        <v>295</v>
      </c>
      <c r="AA71" s="264"/>
    </row>
    <row r="72" spans="9:46" ht="13.5" customHeight="1" thickBot="1">
      <c r="I72" s="1825" t="str">
        <f>AI64&amp;"("&amp;TEXT(AI68,"#,##0.00;-#,##0.00;#")&amp;"%)内訳"</f>
        <v>一般会計繰入金(11.04%)内訳</v>
      </c>
      <c r="J72" s="1826"/>
      <c r="K72" s="1826"/>
      <c r="L72" s="1827"/>
      <c r="N72" s="298" t="s">
        <v>296</v>
      </c>
      <c r="O72" s="299" t="s">
        <v>297</v>
      </c>
      <c r="P72" s="1250" t="s">
        <v>298</v>
      </c>
      <c r="Q72" s="1251" t="s">
        <v>353</v>
      </c>
      <c r="R72" s="1252" t="s">
        <v>299</v>
      </c>
      <c r="S72" s="1252" t="str">
        <f>IF(S73="0","","連合会支出金")</f>
        <v/>
      </c>
      <c r="T72" s="1253" t="s">
        <v>300</v>
      </c>
      <c r="U72" s="1254" t="s">
        <v>301</v>
      </c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</row>
    <row r="73" spans="9:46" ht="13.5" customHeight="1" thickBot="1">
      <c r="I73" s="1834" t="str">
        <f>AC65</f>
        <v>保険税軽減分</v>
      </c>
      <c r="J73" s="1835"/>
      <c r="K73" s="1836"/>
      <c r="L73" s="521" t="str">
        <f>TEXT(AC68,"#,##0.00;-#,##0.00;0.00")&amp;"%"</f>
        <v>2.32%</v>
      </c>
      <c r="O73" s="300" t="s">
        <v>292</v>
      </c>
      <c r="P73" s="301" t="str">
        <f>TEXT(R68,"#,##0.00;-#,##0.00;#")</f>
        <v>20.01</v>
      </c>
      <c r="Q73" s="302" t="str">
        <f>TEXT(S68,"#,##0.00;-#,##0.00;0")</f>
        <v>0.09</v>
      </c>
      <c r="R73" s="302" t="str">
        <f>TEXT(AA68,"#,##0.00;-#,##0.00;#")</f>
        <v>66.82</v>
      </c>
      <c r="S73" s="302" t="str">
        <f>TEXT(AB68,"#,##0.00;-#,##0.00;0")</f>
        <v>0</v>
      </c>
      <c r="T73" s="303" t="str">
        <f>TEXT(AI68,"#,##0.00;-#,##0.00;#")</f>
        <v>11.04</v>
      </c>
      <c r="U73" s="303" t="str">
        <f>TEXT(AN68,"#,##0.00;-#,##0.00;#")</f>
        <v>2.03</v>
      </c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</row>
    <row r="74" spans="9:46" ht="13.5" customHeight="1">
      <c r="I74" s="1838" t="str">
        <f>AD65</f>
        <v>保険者支援分</v>
      </c>
      <c r="J74" s="1838"/>
      <c r="K74" s="1838"/>
      <c r="L74" s="521" t="str">
        <f>TEXT(AD68,"#,##0.00;-#,##0.00;0.00")&amp;"%"</f>
        <v>1.47%</v>
      </c>
      <c r="O74" s="264" t="s">
        <v>302</v>
      </c>
      <c r="P74" s="264" t="str">
        <f>P72&amp;P73&amp;"%"</f>
        <v>保険料 
20.01%</v>
      </c>
      <c r="Q74" s="264"/>
      <c r="R74" s="264" t="str">
        <f>R72&amp;R73&amp;"%"</f>
        <v>都道府県支出金66.82%</v>
      </c>
      <c r="S74" s="304"/>
      <c r="T74" s="264" t="str">
        <f>T72&amp;T73&amp;"%"</f>
        <v>一般会計
繰入金
11.04%</v>
      </c>
      <c r="U74" s="264" t="str">
        <f>U72&amp;U73&amp;"%"</f>
        <v xml:space="preserve"> その他 2.03%</v>
      </c>
      <c r="W74" s="264"/>
      <c r="X74" s="264"/>
      <c r="Y74" s="264"/>
    </row>
    <row r="75" spans="9:46" ht="13.5" customHeight="1">
      <c r="I75" s="1838" t="str">
        <f>AE65</f>
        <v>職員給与費等</v>
      </c>
      <c r="J75" s="1838"/>
      <c r="K75" s="1838"/>
      <c r="L75" s="521" t="str">
        <f>TEXT(AE68,"#,##0.00;-#,##0.00;0.00")&amp;"%"</f>
        <v>1.22%</v>
      </c>
      <c r="O75" s="264" t="s">
        <v>303</v>
      </c>
      <c r="P75" s="305">
        <f>ROUND(R68,1)</f>
        <v>20</v>
      </c>
      <c r="Q75" s="305">
        <f>ROUND(S68,1)</f>
        <v>0.1</v>
      </c>
      <c r="R75" s="305">
        <f>ROUND(AA68,1)</f>
        <v>66.8</v>
      </c>
      <c r="S75" s="305">
        <f>ROUND(AB68,1)</f>
        <v>0</v>
      </c>
      <c r="T75" s="305">
        <f>ROUND(AI68,1)</f>
        <v>11</v>
      </c>
      <c r="U75" s="305">
        <f>ROUND(AN68,1)</f>
        <v>2</v>
      </c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</row>
    <row r="76" spans="9:46" ht="13.5" customHeight="1">
      <c r="I76" s="1838" t="str">
        <f>AF65</f>
        <v>出産育児一時金等</v>
      </c>
      <c r="J76" s="1838"/>
      <c r="K76" s="1838"/>
      <c r="L76" s="521" t="str">
        <f>TEXT(AF68,"#,##0.00;-#,##0.00;0.00")&amp;"%"</f>
        <v>0.17%</v>
      </c>
      <c r="O76" s="264"/>
      <c r="P76" s="306" t="s">
        <v>269</v>
      </c>
      <c r="Q76" s="307"/>
      <c r="R76" s="308"/>
      <c r="S76" s="309"/>
      <c r="T76" s="309"/>
      <c r="U76" s="310"/>
      <c r="V76" s="308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</row>
    <row r="77" spans="9:46" ht="13.5" customHeight="1" thickBot="1">
      <c r="I77" s="1838" t="str">
        <f>AG65</f>
        <v>財政安定化支援事業</v>
      </c>
      <c r="J77" s="1838"/>
      <c r="K77" s="1838"/>
      <c r="L77" s="521" t="str">
        <f>TEXT(AG68,"#,##0.00;-#,##0.00;0.00")&amp;"%"</f>
        <v>0.07%</v>
      </c>
      <c r="N77" s="298" t="s">
        <v>304</v>
      </c>
      <c r="O77" s="299" t="s">
        <v>305</v>
      </c>
      <c r="P77" s="311" t="s">
        <v>306</v>
      </c>
      <c r="Q77" s="312" t="s">
        <v>307</v>
      </c>
      <c r="R77" s="313" t="s">
        <v>308</v>
      </c>
      <c r="S77" s="314" t="s">
        <v>309</v>
      </c>
      <c r="T77" s="315" t="s">
        <v>310</v>
      </c>
      <c r="U77" s="316" t="s">
        <v>273</v>
      </c>
      <c r="V77" s="317" t="s">
        <v>301</v>
      </c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</row>
    <row r="78" spans="9:46" ht="13.5" customHeight="1" thickBot="1">
      <c r="I78" s="1838" t="str">
        <f>AH65</f>
        <v>その他</v>
      </c>
      <c r="J78" s="1838"/>
      <c r="K78" s="1838"/>
      <c r="L78" s="521" t="str">
        <f>TEXT(AH68,"#,##0.00;-#,##0.00;0.00")&amp;"%"</f>
        <v>5.79%</v>
      </c>
      <c r="O78" s="318" t="s">
        <v>292</v>
      </c>
      <c r="P78" s="319" t="str">
        <f>TEXT(P68,"#,##0.00;-#,##0.00;#")</f>
        <v>20.01</v>
      </c>
      <c r="Q78" s="319" t="str">
        <f>TEXT(Q68,"#,##0.00;-#,##0.00;#")</f>
        <v/>
      </c>
      <c r="R78" s="319" t="str">
        <f>TEXT(S68,"#,##0.00;-#,##0.00;#")</f>
        <v>0.09</v>
      </c>
      <c r="S78" s="319" t="str">
        <f>TEXT(AA68,"#,##0.00;-#,##0.00;#")</f>
        <v>66.82</v>
      </c>
      <c r="T78" s="319" t="str">
        <f>TEXT(AB68,"#,##0.00;-#,##0.00;#")</f>
        <v/>
      </c>
      <c r="U78" s="319" t="str">
        <f>TEXT(AI68,"#,##0.00;-#,##0.00;#")</f>
        <v>11.04</v>
      </c>
      <c r="V78" s="319" t="str">
        <f>TEXT(AN68,"#,##0.00;-#,##0.00;#")</f>
        <v>2.03</v>
      </c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</row>
    <row r="79" spans="9:46" ht="13.5" customHeight="1">
      <c r="O79" s="264" t="s">
        <v>302</v>
      </c>
      <c r="P79" s="264" t="str">
        <f t="shared" ref="P79:V79" si="14">P77&amp;P78&amp;"%"</f>
        <v xml:space="preserve"> 一般
被保険者分
20.01%</v>
      </c>
      <c r="Q79" s="264" t="str">
        <f t="shared" si="14"/>
        <v>退職
被保険者等分
%</v>
      </c>
      <c r="R79" s="264" t="str">
        <f>IF(S68=0,"",R77&amp;R78&amp;"%")</f>
        <v>国庫支出金 0.09%</v>
      </c>
      <c r="S79" s="264" t="str">
        <f t="shared" si="14"/>
        <v>都道府県支出金66.82%</v>
      </c>
      <c r="T79" s="264" t="str">
        <f>IF(AB68=0,"",T77&amp;T78&amp;"%")</f>
        <v/>
      </c>
      <c r="U79" s="264" t="str">
        <f t="shared" si="14"/>
        <v>一般会計繰入金11.04%</v>
      </c>
      <c r="V79" s="264" t="str">
        <f t="shared" si="14"/>
        <v xml:space="preserve"> その他 2.03%</v>
      </c>
      <c r="W79" s="264"/>
      <c r="X79" s="264"/>
      <c r="Y79" s="264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</row>
    <row r="80" spans="9:46" ht="13.5" customHeight="1">
      <c r="O80" s="264" t="s">
        <v>303</v>
      </c>
      <c r="P80" s="305">
        <f>ROUND(P68,1)</f>
        <v>20</v>
      </c>
      <c r="Q80" s="305">
        <f>ROUND(P75-P80,1)</f>
        <v>0</v>
      </c>
      <c r="R80" s="305">
        <f>ROUND(S68,1)</f>
        <v>0.1</v>
      </c>
      <c r="S80" s="305">
        <f>ROUND(AA68,1)</f>
        <v>66.8</v>
      </c>
      <c r="T80" s="305">
        <f>ROUND(AB68,1)</f>
        <v>0</v>
      </c>
      <c r="U80" s="305">
        <f>ROUND(AI68,1)</f>
        <v>11</v>
      </c>
      <c r="V80" s="305">
        <f>ROUND(100-SUM(P80:U80),1)</f>
        <v>2.1</v>
      </c>
      <c r="W80" s="305"/>
      <c r="X80" s="305"/>
      <c r="Y80" s="320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</row>
    <row r="81" spans="2:48" ht="13.5" customHeight="1">
      <c r="I81" s="1839" t="str">
        <f>AN64&amp;"("&amp;TEXT(AN68,"#,##0.00;-#,##0.00;#")&amp;"%)内訳"</f>
        <v>その他(2.03%)内訳</v>
      </c>
      <c r="J81" s="1840"/>
      <c r="K81" s="1840"/>
      <c r="L81" s="1841"/>
      <c r="T81" s="264"/>
    </row>
    <row r="82" spans="2:48" ht="13.5" customHeight="1">
      <c r="I82" s="1838" t="str">
        <f>AJ65</f>
        <v>基金等繰入金</v>
      </c>
      <c r="J82" s="1838"/>
      <c r="K82" s="1838"/>
      <c r="L82" s="522" t="str">
        <f>TEXT(AJ68,"#,##0.00;-#,##0.00;0.00")&amp;"%"</f>
        <v>0.28%</v>
      </c>
      <c r="N82" s="297" t="s">
        <v>235</v>
      </c>
      <c r="O82" s="321" t="s">
        <v>311</v>
      </c>
      <c r="P82" s="244" t="str">
        <f>"{"&amp;""""&amp;P74&amp;""""&amp;","&amp;""""&amp;Q74&amp;""""&amp;","&amp;""""&amp;R74&amp;""""&amp;","&amp;""""&amp;S74&amp;""""&amp;","&amp;""""&amp;T74&amp;""""&amp;","&amp;""""&amp;U74&amp;""""&amp;"}"</f>
        <v>{"保険料 
20.01%","","都道府県支出金66.82%","","一般会計
繰入金
11.04%"," その他 2.03%"}</v>
      </c>
      <c r="Q82" s="244" t="str">
        <f>"{"&amp;P75&amp;","&amp;Q75&amp;","&amp;R75&amp;","&amp;S75&amp;","&amp;T75&amp;","&amp;U75&amp;"}"</f>
        <v>{20,0.1,66.8,0,11,2}</v>
      </c>
    </row>
    <row r="83" spans="2:48" ht="13.5" customHeight="1">
      <c r="I83" s="1838" t="str">
        <f>AK65</f>
        <v>繰越金</v>
      </c>
      <c r="J83" s="1838"/>
      <c r="K83" s="1838"/>
      <c r="L83" s="521" t="str">
        <f>TEXT(AK68,"#,##0.00;-#,##0.00;0.00")&amp;"%"</f>
        <v>1.46%</v>
      </c>
      <c r="O83" s="321" t="s">
        <v>312</v>
      </c>
      <c r="P83" s="244" t="str">
        <f>"{"&amp;""""&amp;P79&amp;""""&amp;","&amp;""""&amp;Q79&amp;""""&amp;","&amp;""""&amp;R79&amp;""""&amp;","&amp;""""&amp;S79&amp;""""&amp;","&amp;""""&amp;T79&amp;""""&amp;","&amp;""""&amp;U79&amp;""""&amp;","&amp;""""&amp;V79&amp;""""&amp;"}"</f>
        <v>{" 一般
被保険者分
20.01%","退職
被保険者等分
%","国庫支出金 0.09%","都道府県支出金66.82%","","一般会計繰入金11.04%"," その他 2.03%"}</v>
      </c>
      <c r="Q83" s="244" t="str">
        <f>"{"&amp;P80&amp;","&amp;Q80&amp;","&amp;R80&amp;","&amp;S80&amp;","&amp;T80&amp;","&amp;U80&amp;","&amp;V80&amp;"}"</f>
        <v>{20,0,0.1,66.8,0,11,2.1}</v>
      </c>
    </row>
    <row r="84" spans="2:48" ht="13.5" customHeight="1">
      <c r="I84" s="1838" t="str">
        <f>AL65</f>
        <v>市町村債</v>
      </c>
      <c r="J84" s="1838"/>
      <c r="K84" s="1838"/>
      <c r="L84" s="521" t="str">
        <f>TEXT(AL68,"#,##0.00;-#,##0.00;0.00")&amp;"%"</f>
        <v>0.00%</v>
      </c>
    </row>
    <row r="85" spans="2:48" ht="13.5" customHeight="1">
      <c r="I85" s="1838" t="str">
        <f>AM65</f>
        <v>その他</v>
      </c>
      <c r="J85" s="1838"/>
      <c r="K85" s="1838"/>
      <c r="L85" s="521" t="str">
        <f>TEXT(AM68,"#,##0.00;-#,##0.00;0.00")&amp;"%"</f>
        <v>0.28%</v>
      </c>
      <c r="O85" s="244" t="str">
        <f>TEXT(O66,"#,##0")&amp;CHAR(10)&amp;N66</f>
        <v>417,626
百万円</v>
      </c>
    </row>
    <row r="88" spans="2:48" ht="13.5" customHeight="1" thickBot="1"/>
    <row r="89" spans="2:48" ht="13.5" customHeight="1" thickBot="1">
      <c r="O89" s="1266" t="s">
        <v>650</v>
      </c>
      <c r="P89" s="1267" t="s">
        <v>651</v>
      </c>
      <c r="Q89" s="1267" t="s">
        <v>652</v>
      </c>
      <c r="R89" s="1267" t="s">
        <v>653</v>
      </c>
      <c r="S89" s="1267" t="s">
        <v>654</v>
      </c>
      <c r="T89" s="1267" t="s">
        <v>655</v>
      </c>
      <c r="U89" s="1267" t="s">
        <v>656</v>
      </c>
      <c r="V89" s="1271" t="s">
        <v>657</v>
      </c>
      <c r="W89" s="1267" t="s">
        <v>658</v>
      </c>
      <c r="X89" s="1267" t="s">
        <v>659</v>
      </c>
      <c r="Y89" s="1267" t="s">
        <v>660</v>
      </c>
      <c r="Z89" s="1267" t="s">
        <v>661</v>
      </c>
      <c r="AA89" s="1272" t="s">
        <v>662</v>
      </c>
      <c r="AB89" s="1272" t="s">
        <v>663</v>
      </c>
      <c r="AC89" s="1272" t="s">
        <v>664</v>
      </c>
      <c r="AD89" s="1272" t="s">
        <v>665</v>
      </c>
      <c r="AE89" s="1273" t="s">
        <v>666</v>
      </c>
      <c r="AF89" s="1274" t="s">
        <v>667</v>
      </c>
      <c r="AG89" s="1275" t="s">
        <v>668</v>
      </c>
      <c r="AH89" s="1279" t="s">
        <v>669</v>
      </c>
      <c r="AI89" s="1276"/>
      <c r="AJ89" s="1277" t="s">
        <v>638</v>
      </c>
      <c r="AK89" s="1277" t="s">
        <v>672</v>
      </c>
      <c r="AL89" s="1277" t="s">
        <v>642</v>
      </c>
      <c r="AM89" s="1277" t="s">
        <v>641</v>
      </c>
      <c r="AN89" s="1277" t="s">
        <v>640</v>
      </c>
      <c r="AO89" s="1277" t="s">
        <v>639</v>
      </c>
      <c r="AP89" s="1277" t="s">
        <v>644</v>
      </c>
      <c r="AQ89" s="1277" t="s">
        <v>643</v>
      </c>
      <c r="AR89" s="1277" t="s">
        <v>645</v>
      </c>
      <c r="AS89" s="1277" t="s">
        <v>646</v>
      </c>
      <c r="AT89" s="1277" t="s">
        <v>647</v>
      </c>
      <c r="AU89" s="1277" t="s">
        <v>648</v>
      </c>
      <c r="AV89" s="1277" t="s">
        <v>649</v>
      </c>
    </row>
    <row r="90" spans="2:48" ht="13.5" customHeight="1" thickBot="1">
      <c r="B90" s="1837" t="str">
        <f>R70</f>
        <v>注:退職は端数処理により０％になっている。</v>
      </c>
      <c r="C90" s="1837"/>
      <c r="D90" s="1837"/>
      <c r="E90" s="1837"/>
      <c r="F90" s="1837"/>
      <c r="G90" s="1837"/>
      <c r="H90" s="1837"/>
      <c r="I90" s="1837"/>
      <c r="J90" s="1837"/>
      <c r="K90" s="1837"/>
      <c r="L90" s="523"/>
      <c r="N90" s="322" t="s">
        <v>314</v>
      </c>
      <c r="O90" s="248" t="s">
        <v>15</v>
      </c>
      <c r="P90" s="323" t="s">
        <v>315</v>
      </c>
      <c r="Q90" s="324"/>
      <c r="R90" s="325"/>
      <c r="S90" s="326" t="s">
        <v>276</v>
      </c>
      <c r="T90" s="327"/>
      <c r="U90" s="328" t="s">
        <v>276</v>
      </c>
      <c r="V90" s="329" t="s">
        <v>277</v>
      </c>
      <c r="W90" s="325"/>
      <c r="X90" s="329" t="s">
        <v>277</v>
      </c>
      <c r="Y90" s="328" t="s">
        <v>277</v>
      </c>
      <c r="Z90" s="330" t="s">
        <v>316</v>
      </c>
      <c r="AA90" s="331" t="s">
        <v>317</v>
      </c>
      <c r="AB90" s="332"/>
      <c r="AC90" s="332"/>
      <c r="AD90" s="333"/>
      <c r="AE90" s="334" t="s">
        <v>318</v>
      </c>
      <c r="AF90" s="335" t="s">
        <v>319</v>
      </c>
      <c r="AG90" s="384" t="s">
        <v>320</v>
      </c>
      <c r="AH90" s="336" t="s">
        <v>321</v>
      </c>
    </row>
    <row r="91" spans="2:48" ht="13.5" customHeight="1" thickBot="1">
      <c r="B91" s="1837"/>
      <c r="C91" s="1837"/>
      <c r="D91" s="1837"/>
      <c r="E91" s="1837"/>
      <c r="F91" s="1837"/>
      <c r="G91" s="1837"/>
      <c r="H91" s="1837"/>
      <c r="I91" s="1837"/>
      <c r="J91" s="1837"/>
      <c r="K91" s="1837"/>
      <c r="N91" s="264"/>
      <c r="O91" s="337" t="s">
        <v>322</v>
      </c>
      <c r="P91" s="338"/>
      <c r="Q91" s="339" t="s">
        <v>323</v>
      </c>
      <c r="R91" s="340" t="s">
        <v>188</v>
      </c>
      <c r="S91" s="340" t="s">
        <v>324</v>
      </c>
      <c r="T91" s="341" t="s">
        <v>98</v>
      </c>
      <c r="U91" s="342" t="s">
        <v>325</v>
      </c>
      <c r="V91" s="343" t="s">
        <v>323</v>
      </c>
      <c r="W91" s="344" t="s">
        <v>188</v>
      </c>
      <c r="X91" s="344" t="s">
        <v>324</v>
      </c>
      <c r="Y91" s="342" t="s">
        <v>325</v>
      </c>
      <c r="Z91" s="338"/>
      <c r="AA91" s="345" t="s">
        <v>326</v>
      </c>
      <c r="AB91" s="345" t="s">
        <v>327</v>
      </c>
      <c r="AC91" s="345" t="s">
        <v>328</v>
      </c>
      <c r="AD91" s="345" t="s">
        <v>62</v>
      </c>
      <c r="AE91" s="346"/>
      <c r="AF91" s="347"/>
      <c r="AG91" s="348"/>
      <c r="AH91" s="349"/>
    </row>
    <row r="92" spans="2:48" ht="13.5" customHeight="1" thickBot="1">
      <c r="N92" s="264" t="s">
        <v>290</v>
      </c>
      <c r="O92" s="1556">
        <v>409978</v>
      </c>
      <c r="P92" s="1550">
        <v>5569</v>
      </c>
      <c r="Q92" s="1557">
        <f>SUM(AJ92:AK92)</f>
        <v>232261</v>
      </c>
      <c r="R92" s="1558">
        <v>33278</v>
      </c>
      <c r="S92" s="1551">
        <v>40</v>
      </c>
      <c r="T92" s="1559">
        <f>SUM(AL92:AO92)</f>
        <v>1738</v>
      </c>
      <c r="U92" s="1560">
        <v>267318</v>
      </c>
      <c r="V92" s="1559">
        <f>SUM(AP92:AQ92)</f>
        <v>1</v>
      </c>
      <c r="W92" s="1551">
        <v>0</v>
      </c>
      <c r="X92" s="1551">
        <v>0</v>
      </c>
      <c r="Y92" s="1551">
        <v>1</v>
      </c>
      <c r="Z92" s="1551">
        <v>1101</v>
      </c>
      <c r="AA92" s="1551">
        <v>83054</v>
      </c>
      <c r="AB92" s="1551">
        <v>29075</v>
      </c>
      <c r="AC92" s="1551">
        <v>12201</v>
      </c>
      <c r="AD92" s="1551">
        <v>124330</v>
      </c>
      <c r="AE92" s="1551">
        <v>0</v>
      </c>
      <c r="AF92" s="1551">
        <v>4577</v>
      </c>
      <c r="AG92" s="1551">
        <v>3915</v>
      </c>
      <c r="AH92" s="1557">
        <f>SUM(AR92:AV92)</f>
        <v>3167</v>
      </c>
      <c r="AI92" s="1561"/>
      <c r="AJ92" s="1551">
        <v>232256</v>
      </c>
      <c r="AK92" s="1551">
        <v>5</v>
      </c>
      <c r="AL92" s="1560">
        <v>1024</v>
      </c>
      <c r="AM92" s="1560">
        <v>251</v>
      </c>
      <c r="AN92" s="1560">
        <v>0</v>
      </c>
      <c r="AO92" s="1560">
        <v>463</v>
      </c>
      <c r="AP92" s="1560">
        <v>1</v>
      </c>
      <c r="AQ92" s="1560">
        <v>0</v>
      </c>
      <c r="AR92" s="1551">
        <v>759</v>
      </c>
      <c r="AS92" s="1551">
        <v>304</v>
      </c>
      <c r="AT92" s="1551">
        <v>1</v>
      </c>
      <c r="AU92" s="1551">
        <v>2103</v>
      </c>
      <c r="AV92" s="1551">
        <v>0</v>
      </c>
    </row>
    <row r="93" spans="2:48" ht="13.5" customHeight="1" thickBot="1">
      <c r="N93" s="279" t="s">
        <v>291</v>
      </c>
      <c r="O93" s="264"/>
      <c r="P93" s="280">
        <f t="shared" ref="P93:AH93" si="15">ROUND(P92/$O92*100,3)</f>
        <v>1.3580000000000001</v>
      </c>
      <c r="Q93" s="350">
        <f t="shared" si="15"/>
        <v>56.652000000000001</v>
      </c>
      <c r="R93" s="350">
        <f t="shared" si="15"/>
        <v>8.1170000000000009</v>
      </c>
      <c r="S93" s="350">
        <f t="shared" si="15"/>
        <v>0.01</v>
      </c>
      <c r="T93" s="350">
        <f t="shared" si="15"/>
        <v>0.42399999999999999</v>
      </c>
      <c r="U93" s="350">
        <f t="shared" si="15"/>
        <v>65.203000000000003</v>
      </c>
      <c r="V93" s="350">
        <f t="shared" si="15"/>
        <v>0</v>
      </c>
      <c r="W93" s="350">
        <f t="shared" si="15"/>
        <v>0</v>
      </c>
      <c r="X93" s="350">
        <f t="shared" si="15"/>
        <v>0</v>
      </c>
      <c r="Y93" s="350">
        <f t="shared" si="15"/>
        <v>0</v>
      </c>
      <c r="Z93" s="350">
        <f t="shared" si="15"/>
        <v>0.26900000000000002</v>
      </c>
      <c r="AA93" s="350">
        <f t="shared" si="15"/>
        <v>20.257999999999999</v>
      </c>
      <c r="AB93" s="350">
        <f t="shared" si="15"/>
        <v>7.0919999999999996</v>
      </c>
      <c r="AC93" s="350">
        <f t="shared" si="15"/>
        <v>2.976</v>
      </c>
      <c r="AD93" s="350">
        <f t="shared" si="15"/>
        <v>30.326000000000001</v>
      </c>
      <c r="AE93" s="351">
        <f t="shared" si="15"/>
        <v>0</v>
      </c>
      <c r="AF93" s="350">
        <f t="shared" si="15"/>
        <v>1.1160000000000001</v>
      </c>
      <c r="AG93" s="350">
        <f t="shared" si="15"/>
        <v>0.95499999999999996</v>
      </c>
      <c r="AH93" s="280">
        <f t="shared" si="15"/>
        <v>0.77200000000000002</v>
      </c>
    </row>
    <row r="94" spans="2:48" ht="13.5" customHeight="1" thickBot="1">
      <c r="N94" s="279" t="s">
        <v>291</v>
      </c>
      <c r="O94" s="300" t="s">
        <v>292</v>
      </c>
      <c r="P94" s="286">
        <f>ROUND(P92/$O92*100,2)</f>
        <v>1.36</v>
      </c>
      <c r="Q94" s="301">
        <f>U94-(R94+S94+T94)</f>
        <v>56.650000000000006</v>
      </c>
      <c r="R94" s="285">
        <f>ROUND(R92/$O92*100,2)</f>
        <v>8.1199999999999992</v>
      </c>
      <c r="S94" s="285">
        <f>ROUND(S92/$O92*100,2)</f>
        <v>0.01</v>
      </c>
      <c r="T94" s="285">
        <f>ROUND(T92/$O92*100,2)</f>
        <v>0.42</v>
      </c>
      <c r="U94" s="285">
        <f>ROUND(U92/$O92*100,2)</f>
        <v>65.2</v>
      </c>
      <c r="V94" s="301">
        <f>Y94-(W94+X94)</f>
        <v>0</v>
      </c>
      <c r="W94" s="285">
        <f t="shared" ref="W94:AG94" si="16">ROUND(W92/$O92*100,2)</f>
        <v>0</v>
      </c>
      <c r="X94" s="285">
        <f t="shared" si="16"/>
        <v>0</v>
      </c>
      <c r="Y94" s="285">
        <f t="shared" si="16"/>
        <v>0</v>
      </c>
      <c r="Z94" s="285">
        <f t="shared" si="16"/>
        <v>0.27</v>
      </c>
      <c r="AA94" s="285">
        <f t="shared" si="16"/>
        <v>20.260000000000002</v>
      </c>
      <c r="AB94" s="285">
        <f t="shared" si="16"/>
        <v>7.09</v>
      </c>
      <c r="AC94" s="285">
        <f t="shared" si="16"/>
        <v>2.98</v>
      </c>
      <c r="AD94" s="285">
        <f t="shared" si="16"/>
        <v>30.33</v>
      </c>
      <c r="AE94" s="285">
        <f t="shared" si="16"/>
        <v>0</v>
      </c>
      <c r="AF94" s="285">
        <f t="shared" si="16"/>
        <v>1.1200000000000001</v>
      </c>
      <c r="AG94" s="285">
        <f t="shared" si="16"/>
        <v>0.95</v>
      </c>
      <c r="AH94" s="352">
        <f>ROUND(100-(P94+U94+Y94+Z94+AA94+AB94+AC94+AE94+AF94),2)</f>
        <v>1.72</v>
      </c>
    </row>
    <row r="95" spans="2:48" ht="13.5" customHeight="1" thickBot="1">
      <c r="O95" s="290" t="s">
        <v>293</v>
      </c>
      <c r="P95" s="292" t="str">
        <f>IF(AND(P94=0,P92&lt;&gt;0),P90&amp;P91&amp;",","")</f>
        <v/>
      </c>
      <c r="Q95" s="292" t="str">
        <f t="shared" ref="Q95:W95" si="17">IF(AND(Q94=0,Q92&lt;&gt;0),Q90&amp;Q91&amp;",","")</f>
        <v/>
      </c>
      <c r="R95" s="292" t="str">
        <f t="shared" si="17"/>
        <v/>
      </c>
      <c r="S95" s="292" t="str">
        <f t="shared" si="17"/>
        <v/>
      </c>
      <c r="T95" s="292" t="str">
        <f t="shared" si="17"/>
        <v/>
      </c>
      <c r="U95" s="292" t="str">
        <f t="shared" si="17"/>
        <v/>
      </c>
      <c r="V95" s="292" t="str">
        <f t="shared" si="17"/>
        <v>退職療養給付費・療養費・移送費,</v>
      </c>
      <c r="W95" s="292" t="str">
        <f t="shared" si="17"/>
        <v/>
      </c>
      <c r="X95" s="292" t="str">
        <f>IF(AND(X94=0,X92&lt;&gt;0),X90&amp;X91&amp;",","")</f>
        <v/>
      </c>
      <c r="Y95" s="292" t="str">
        <f t="shared" ref="Y95:AD95" si="18">IF(AND(Y94=0,Y92&lt;&gt;0),Y90&amp;Y91&amp;",","")</f>
        <v>退職保険給付費,</v>
      </c>
      <c r="Z95" s="292" t="str">
        <f t="shared" si="18"/>
        <v/>
      </c>
      <c r="AA95" s="292" t="str">
        <f t="shared" si="18"/>
        <v/>
      </c>
      <c r="AB95" s="292" t="str">
        <f t="shared" si="18"/>
        <v/>
      </c>
      <c r="AC95" s="292" t="str">
        <f t="shared" si="18"/>
        <v/>
      </c>
      <c r="AD95" s="292" t="str">
        <f t="shared" si="18"/>
        <v/>
      </c>
      <c r="AE95" s="353" t="str">
        <f>IF(AND(AE94=0,AE92&lt;&gt;0),AE90&amp;AE91&amp;",","")</f>
        <v/>
      </c>
      <c r="AF95" s="292" t="str">
        <f>IF(AND(AF94=0,AF92&lt;&gt;0),AF90&amp;AF91&amp;",","")</f>
        <v/>
      </c>
      <c r="AG95" s="292" t="str">
        <f>IF(AND(AG94=0,AG92&lt;&gt;0),AG90&amp;AG91&amp;",","")</f>
        <v/>
      </c>
      <c r="AH95" s="292" t="str">
        <f>IF(AND(AH94=0,AH92&lt;&gt;0),AH90&amp;AH91&amp;",","")</f>
        <v/>
      </c>
    </row>
    <row r="96" spans="2:48" ht="13.5" customHeight="1">
      <c r="O96" s="264" t="s">
        <v>294</v>
      </c>
      <c r="P96" s="264" t="str">
        <f>P95&amp;Q95&amp;R95&amp;S95&amp;T95&amp;U95&amp;V95&amp;W95&amp;X95&amp;Y95&amp;Z95&amp;AA95&amp;AB95&amp;AC95&amp;AD95&amp;AE95&amp;AF95&amp;AG95&amp;AH95</f>
        <v>退職療養給付費・療養費・移送費,退職保険給付費,</v>
      </c>
      <c r="Q96" s="264">
        <f>LEN(P96)</f>
        <v>24</v>
      </c>
      <c r="R96" s="264" t="str">
        <f>IF(ISERROR(Q11),"",IF(Q96=0,"","注:"&amp;LEFT(P96,Q96-1)&amp;"は端数処理により０％になっている。"))</f>
        <v>注:退職療養給付費・療養費・移送費,退職保険給付費は端数処理により０％になっている。</v>
      </c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</row>
    <row r="97" spans="14:32" ht="13.5" customHeight="1">
      <c r="N97" s="297" t="s">
        <v>295</v>
      </c>
      <c r="T97" s="297"/>
    </row>
    <row r="98" spans="14:32" ht="13.5" customHeight="1" thickBot="1">
      <c r="N98" s="298" t="s">
        <v>296</v>
      </c>
      <c r="O98" s="299" t="s">
        <v>329</v>
      </c>
      <c r="P98" s="354" t="s">
        <v>330</v>
      </c>
      <c r="Q98" s="355" t="s">
        <v>331</v>
      </c>
      <c r="R98" s="355" t="s">
        <v>332</v>
      </c>
      <c r="S98" s="356" t="s">
        <v>333</v>
      </c>
      <c r="T98" s="357" t="s">
        <v>334</v>
      </c>
      <c r="U98" s="358" t="s">
        <v>335</v>
      </c>
      <c r="V98" s="359" t="s">
        <v>319</v>
      </c>
      <c r="W98" s="385" t="s">
        <v>336</v>
      </c>
      <c r="X98" s="361" t="s">
        <v>337</v>
      </c>
      <c r="Y98" s="264"/>
      <c r="Z98" s="264"/>
      <c r="AA98" s="264"/>
      <c r="AB98" s="264"/>
      <c r="AC98" s="264"/>
    </row>
    <row r="99" spans="14:32" ht="13.5" customHeight="1" thickBot="1">
      <c r="O99" s="300" t="s">
        <v>292</v>
      </c>
      <c r="P99" s="362" t="str">
        <f>TEXT(P94,"#,##0.00;-#,##0.00;#")</f>
        <v>1.36</v>
      </c>
      <c r="Q99" s="319" t="str">
        <f>TEXT(U94,"#,##0.00;-#,##0.00;#")</f>
        <v>65.20</v>
      </c>
      <c r="R99" s="319" t="str">
        <f>TEXT(Y94,"#,##0.00;-#,##0.00;#")</f>
        <v/>
      </c>
      <c r="S99" s="362" t="str">
        <f>TEXT(Z94,"#,##0.00;-#,##0.00;#")</f>
        <v>0.27</v>
      </c>
      <c r="T99" s="319" t="str">
        <f>TEXT(AD94,"#,##0.00;-#,##0.00;#")</f>
        <v>30.33</v>
      </c>
      <c r="U99" s="362" t="str">
        <f>TEXT(AE94,"#,##0.00;-#,##0.00;#")</f>
        <v/>
      </c>
      <c r="V99" s="362" t="str">
        <f>TEXT(AF94,"#,##0.00;-#,##0.00;#")</f>
        <v>1.12</v>
      </c>
      <c r="W99" s="319" t="str">
        <f>TEXT(AG94,"#,##0.00;-#,##0.00;#")</f>
        <v>0.95</v>
      </c>
      <c r="X99" s="362" t="str">
        <f>TEXT(AH94,"#,##0.00;-#,##0.00;#")</f>
        <v>1.72</v>
      </c>
      <c r="Y99" s="264"/>
      <c r="Z99" s="264"/>
      <c r="AA99" s="264"/>
      <c r="AB99" s="264"/>
      <c r="AC99" s="264"/>
    </row>
    <row r="100" spans="14:32" ht="13.5" customHeight="1">
      <c r="O100" s="264" t="s">
        <v>302</v>
      </c>
      <c r="P100" s="264"/>
      <c r="Q100" s="264" t="str">
        <f>Q98&amp;Q99&amp;"%"</f>
        <v>一般保険
給付費
65.20%</v>
      </c>
      <c r="R100" s="264" t="str">
        <f>R98&amp;R99&amp;"%"</f>
        <v xml:space="preserve"> 退職保険給付費
%</v>
      </c>
      <c r="S100" s="264"/>
      <c r="T100" s="264" t="str">
        <f>T98&amp;T99&amp;"%"</f>
        <v>国民健康保険
事業費納付金
30.33%</v>
      </c>
      <c r="U100" s="264"/>
      <c r="V100" s="264"/>
      <c r="W100" s="264" t="str">
        <f>W98&amp;W99&amp;"%"</f>
        <v>保険給付費等交付金償還金0.95%</v>
      </c>
      <c r="X100" s="264" t="str">
        <f>X98&amp;X99&amp;"%"</f>
        <v>その他の支出 1.72%</v>
      </c>
      <c r="Y100" s="264"/>
      <c r="Z100" s="264"/>
    </row>
    <row r="101" spans="14:32" ht="13.5" customHeight="1">
      <c r="O101" s="264" t="s">
        <v>303</v>
      </c>
      <c r="P101" s="305">
        <f>ROUND(P94,1)</f>
        <v>1.4</v>
      </c>
      <c r="Q101" s="305">
        <f>ROUND(U94,1)</f>
        <v>65.2</v>
      </c>
      <c r="R101" s="320">
        <f>ROUND(Y94,1)</f>
        <v>0</v>
      </c>
      <c r="S101" s="305">
        <f>ROUND(Z94,1)</f>
        <v>0.3</v>
      </c>
      <c r="T101" s="305">
        <f>ROUND(AD94,1)</f>
        <v>30.3</v>
      </c>
      <c r="U101" s="305">
        <f>ROUND(AE94,1)</f>
        <v>0</v>
      </c>
      <c r="V101" s="305">
        <f>ROUND(AF94,1)</f>
        <v>1.1000000000000001</v>
      </c>
      <c r="W101" s="305">
        <f>ROUND(AG94,1)</f>
        <v>1</v>
      </c>
      <c r="X101" s="305">
        <f>ROUND(100-SUM(P101:W101),1)</f>
        <v>0.7</v>
      </c>
      <c r="Y101" s="305"/>
    </row>
    <row r="102" spans="14:32" ht="13.5" customHeight="1">
      <c r="N102" s="297" t="s">
        <v>295</v>
      </c>
      <c r="O102" s="264"/>
      <c r="P102" s="365"/>
      <c r="Q102" s="366" t="s">
        <v>338</v>
      </c>
      <c r="R102" s="367"/>
      <c r="S102" s="367"/>
      <c r="T102" s="368"/>
      <c r="U102" s="366" t="s">
        <v>339</v>
      </c>
      <c r="V102" s="367"/>
      <c r="W102" s="368"/>
      <c r="X102" s="264"/>
      <c r="Y102" s="369" t="s">
        <v>317</v>
      </c>
      <c r="Z102" s="370"/>
      <c r="AA102" s="370"/>
      <c r="AB102" s="371"/>
      <c r="AC102" s="264"/>
      <c r="AD102" s="264"/>
      <c r="AE102" s="264"/>
      <c r="AF102" s="264"/>
    </row>
    <row r="103" spans="14:32" ht="13.5" customHeight="1" thickBot="1">
      <c r="N103" s="298" t="s">
        <v>304</v>
      </c>
      <c r="O103" s="299" t="s">
        <v>305</v>
      </c>
      <c r="P103" s="372" t="s">
        <v>330</v>
      </c>
      <c r="Q103" s="373" t="s">
        <v>340</v>
      </c>
      <c r="R103" s="374" t="s">
        <v>341</v>
      </c>
      <c r="S103" s="374" t="s">
        <v>342</v>
      </c>
      <c r="T103" s="375" t="s">
        <v>301</v>
      </c>
      <c r="U103" s="373" t="s">
        <v>354</v>
      </c>
      <c r="V103" s="376" t="s">
        <v>344</v>
      </c>
      <c r="W103" s="377" t="s">
        <v>355</v>
      </c>
      <c r="X103" s="378" t="s">
        <v>346</v>
      </c>
      <c r="Y103" s="379" t="s">
        <v>347</v>
      </c>
      <c r="Z103" s="380" t="s">
        <v>348</v>
      </c>
      <c r="AA103" s="380" t="s">
        <v>349</v>
      </c>
      <c r="AB103" s="380" t="s">
        <v>335</v>
      </c>
      <c r="AC103" s="381" t="s">
        <v>350</v>
      </c>
      <c r="AD103" s="381" t="s">
        <v>356</v>
      </c>
      <c r="AE103" s="1280" t="s">
        <v>357</v>
      </c>
    </row>
    <row r="104" spans="14:32" ht="13.5" customHeight="1" thickBot="1">
      <c r="O104" s="318" t="s">
        <v>292</v>
      </c>
      <c r="P104" s="319" t="str">
        <f>TEXT(P94,"#,##0.00;-#,##0.00;#")</f>
        <v>1.36</v>
      </c>
      <c r="Q104" s="319" t="str">
        <f>TEXT(Q94,"#,##0.00;-#,##0.00;#")</f>
        <v>56.65</v>
      </c>
      <c r="R104" s="319" t="str">
        <f>TEXT(R94,"#,##0.00;-#,##0.00;#")</f>
        <v>8.12</v>
      </c>
      <c r="S104" s="319" t="str">
        <f>TEXT(S94,"#,##0.00;-#,##0.00;#")</f>
        <v>0.01</v>
      </c>
      <c r="T104" s="382" t="str">
        <f>TEXT(ROUND(U94-(Q94+R94),2),"#,##0.00;-#,##0.00;#")</f>
        <v>0.43</v>
      </c>
      <c r="U104" s="319" t="str">
        <f>TEXT(V94,"#,##0.00;-#,##0.00;#")</f>
        <v/>
      </c>
      <c r="V104" s="319" t="str">
        <f>TEXT(W94,"#,##0.00;-#,##0.00;#")</f>
        <v/>
      </c>
      <c r="W104" s="319" t="str">
        <f>TEXT(X94,"#,##0.00;-#,##0.00;#")</f>
        <v/>
      </c>
      <c r="X104" s="319" t="str">
        <f>TEXT(Z94,"#,##0.00;-#,##0.00;#")</f>
        <v>0.27</v>
      </c>
      <c r="Y104" s="319" t="str">
        <f>TEXT(AA94,"#,##0.00;-#,##0.00;#")</f>
        <v>20.26</v>
      </c>
      <c r="Z104" s="319" t="str">
        <f>TEXT(AB94,"#,##0.00;-#,##0.00;#")</f>
        <v>7.09</v>
      </c>
      <c r="AA104" s="319" t="str">
        <f>TEXT(AC94,"#,##0.00;-#,##0.00;#")</f>
        <v>2.98</v>
      </c>
      <c r="AB104" s="319" t="str">
        <f>TEXT(AE94,"#,##0.00;-#,##0.00;#")</f>
        <v/>
      </c>
      <c r="AC104" s="319" t="str">
        <f>TEXT(AF94,"#,##0.00;-#,##0.00;#")</f>
        <v>1.12</v>
      </c>
      <c r="AD104" s="319" t="str">
        <f>TEXT(AG94,"#,##0.00;-#,##0.00;#")</f>
        <v>0.95</v>
      </c>
      <c r="AE104" s="319" t="str">
        <f>TEXT(AH94,"#,##0.00;-#,##0.00;#")</f>
        <v>1.72</v>
      </c>
    </row>
    <row r="105" spans="14:32" ht="13.5" customHeight="1">
      <c r="O105" s="264" t="s">
        <v>302</v>
      </c>
      <c r="P105" s="264" t="str">
        <f>P103&amp;P104&amp;"%"</f>
        <v xml:space="preserve"> 総務費 1.36%</v>
      </c>
      <c r="Q105" s="264" t="str">
        <f>Q103&amp;Q104&amp;"%"</f>
        <v>療養給付費・
療養費・移送費
56.65%</v>
      </c>
      <c r="R105" s="264" t="str">
        <f>R103&amp;R104&amp;"%"</f>
        <v xml:space="preserve"> 高額療養費
8.12%</v>
      </c>
      <c r="S105" s="264" t="str">
        <f>IF(S95&lt;&gt;"","",S103&amp;S104&amp;"%")</f>
        <v>高額介護
合算療養費 0.01%</v>
      </c>
      <c r="T105" s="264" t="str">
        <f t="shared" ref="T105:AA105" si="19">T103&amp;T104&amp;"%"</f>
        <v xml:space="preserve"> その他 0.43%</v>
      </c>
      <c r="U105" s="264" t="str">
        <f t="shared" si="19"/>
        <v>療養給付費・療養費
・移送費%</v>
      </c>
      <c r="V105" s="264" t="str">
        <f t="shared" si="19"/>
        <v xml:space="preserve"> 高額療養費 %</v>
      </c>
      <c r="W105" s="264" t="str">
        <f>IF(X94=0,"データなし",W103&amp;W104&amp;"%")</f>
        <v>データなし</v>
      </c>
      <c r="X105" s="264" t="str">
        <f t="shared" si="19"/>
        <v xml:space="preserve"> 審査支払手数料 0.27%</v>
      </c>
      <c r="Y105" s="264" t="str">
        <f t="shared" si="19"/>
        <v>医療給付分
20.26%</v>
      </c>
      <c r="Z105" s="264" t="str">
        <f t="shared" si="19"/>
        <v>後期高齢者分 7.09%</v>
      </c>
      <c r="AA105" s="264" t="str">
        <f t="shared" si="19"/>
        <v>介護納付金分 2.98%</v>
      </c>
      <c r="AB105" s="383" t="str">
        <f>IF(AE94=0,"データなし",AB103&amp;AB104&amp;"%")</f>
        <v>データなし</v>
      </c>
      <c r="AC105" s="264" t="str">
        <f>AC103&amp;AC104&amp;"%"</f>
        <v xml:space="preserve"> 保健事業費 1.12%</v>
      </c>
      <c r="AD105" s="264" t="str">
        <f>IF(AG94=0,"データなし",AD103&amp;AD104&amp;"%")</f>
        <v>保険給付費等交付金
償還金事業拠出金
0.95%</v>
      </c>
      <c r="AE105" s="264" t="str">
        <f>AE103&amp;AE104&amp;"%"</f>
        <v xml:space="preserve"> その他の支出 1.72%</v>
      </c>
    </row>
    <row r="106" spans="14:32" ht="13.5" customHeight="1">
      <c r="O106" s="264" t="s">
        <v>303</v>
      </c>
      <c r="P106" s="305">
        <f>ROUND(P94,1)</f>
        <v>1.4</v>
      </c>
      <c r="Q106" s="305">
        <f>ROUND(Q94,1)</f>
        <v>56.7</v>
      </c>
      <c r="R106" s="305">
        <f>ROUND(R94,1)</f>
        <v>8.1</v>
      </c>
      <c r="S106" s="305">
        <f>ROUND(S94,1)</f>
        <v>0</v>
      </c>
      <c r="T106" s="305">
        <f>ROUND(Q101-(Q106+R106+S106),1)</f>
        <v>0.4</v>
      </c>
      <c r="U106" s="305">
        <f>ROUND(V94,1)</f>
        <v>0</v>
      </c>
      <c r="V106" s="320">
        <f>ROUND(R101-U106-W106,1)</f>
        <v>0</v>
      </c>
      <c r="W106" s="305">
        <f>ROUND(X94,1)</f>
        <v>0</v>
      </c>
      <c r="X106" s="305">
        <f>ROUND(Z94,1)</f>
        <v>0.3</v>
      </c>
      <c r="Y106" s="305">
        <f>ROUND(AA94,1)</f>
        <v>20.3</v>
      </c>
      <c r="Z106" s="305">
        <f>ROUND(AB94,1)</f>
        <v>7.1</v>
      </c>
      <c r="AA106" s="305">
        <f>ROUND(AC94,1)</f>
        <v>3</v>
      </c>
      <c r="AB106" s="305">
        <f>ROUND(AE94,1)</f>
        <v>0</v>
      </c>
      <c r="AC106" s="305">
        <f>ROUND(AF94,1)</f>
        <v>1.1000000000000001</v>
      </c>
      <c r="AD106" s="305">
        <f>ROUND(AG94,1)</f>
        <v>1</v>
      </c>
      <c r="AE106" s="305">
        <f>ROUND(100-SUM(P106:AD106),1)</f>
        <v>0.6</v>
      </c>
    </row>
    <row r="107" spans="14:32" ht="13.5" customHeight="1">
      <c r="V107" s="297" t="s">
        <v>352</v>
      </c>
    </row>
    <row r="108" spans="14:32" ht="13.5" customHeight="1">
      <c r="N108" s="297" t="s">
        <v>235</v>
      </c>
      <c r="O108" s="321" t="s">
        <v>311</v>
      </c>
      <c r="P108" s="244" t="str">
        <f>"{"&amp;""""&amp;P100&amp;""""&amp;","&amp;""""&amp;Q100&amp;""""&amp;","&amp;""""&amp;R100&amp;""""&amp;","&amp;""""&amp;S100&amp;""""&amp;","&amp;""""&amp;T100&amp;""""&amp;","&amp;""""&amp;U100&amp;""""&amp;","&amp;""""&amp;V100&amp;""""&amp;","&amp;""""&amp;W100&amp;""""&amp;","&amp;""""&amp;X100&amp;""""&amp;","&amp;""""&amp;Y100&amp;""""&amp;","&amp;""""&amp;Z100&amp;""""&amp;"}"</f>
        <v>{"","一般保険
給付費
65.20%"," 退職保険給付費
%","","国民健康保険
事業費納付金
30.33%","","","保険給付費等交付金償還金0.95%","その他の支出 1.72%","",""}</v>
      </c>
      <c r="Q108" s="244" t="str">
        <f>"{"&amp;P101&amp;","&amp;Q101&amp;","&amp;R101&amp;","&amp;S101&amp;","&amp;T101&amp;","&amp;U101&amp;","&amp;V101&amp;","&amp;W101&amp;","&amp;X101&amp;"}"</f>
        <v>{1.4,65.2,0,0.3,30.3,0,1.1,1,0.7}</v>
      </c>
    </row>
    <row r="109" spans="14:32" ht="13.5" customHeight="1">
      <c r="O109" s="321" t="s">
        <v>312</v>
      </c>
      <c r="P109" s="244" t="str">
        <f>"{"&amp;""""&amp;P105&amp;""""&amp;","&amp;""""&amp;Q105&amp;""""&amp;","&amp;""""&amp;R105&amp;""""&amp;","&amp;""""&amp;S105&amp;""""&amp;","&amp;""""&amp;T105&amp;""""&amp;","&amp;""""&amp;U105&amp;""""&amp;","&amp;""""&amp;V105&amp;""""&amp;","&amp;""""&amp;W105&amp;""""&amp;","&amp;""""&amp;X105&amp;""""&amp;","&amp;""""&amp;Y105&amp;""""&amp;","&amp;""""&amp;Z105&amp;""""&amp;","&amp;""""&amp;AA105&amp;""""&amp;","&amp;""""&amp;AB105&amp;""""&amp;","&amp;""""&amp;AC105&amp;""""&amp;","&amp;""""&amp;AD105&amp;""""&amp;","&amp;""""&amp;AE105&amp;""""&amp;"}"</f>
        <v>{" 総務費 1.36%","療養給付費・
療養費・移送費
56.65%"," 高額療養費
8.12%","高額介護
合算療養費 0.01%"," その他 0.43%","療養給付費・療養費
・移送費%"," 高額療養費 %","データなし"," 審査支払手数料 0.27%","医療給付分
20.26%","後期高齢者分 7.09%","介護納付金分 2.98%","データなし"," 保健事業費 1.12%","保険給付費等交付金
償還金事業拠出金
0.95%"," その他の支出 1.72%"}</v>
      </c>
      <c r="Q109" s="244" t="str">
        <f>"{"&amp;P106&amp;","&amp;Q106&amp;","&amp;R106&amp;","&amp;S106&amp;","&amp;T106&amp;","&amp;U106&amp;","&amp;V106&amp;","&amp;W106&amp;","&amp;X106&amp;","&amp;Y106&amp;","&amp;Z106&amp;","&amp;AA106&amp;","&amp;AB106&amp;","&amp;AC106&amp;","&amp;AD106&amp;","&amp;AE106&amp;"}"</f>
        <v>{1.4,56.7,8.1,0,0.4,0,0,0,0.3,20.3,7.1,3,0,1.1,1,0.6}</v>
      </c>
    </row>
    <row r="111" spans="14:32" ht="13.5" customHeight="1">
      <c r="O111" s="244" t="str">
        <f>TEXT(O92,"#,##0")&amp;CHAR(10)&amp;N92</f>
        <v>409,978
百万円</v>
      </c>
    </row>
    <row r="119" spans="1:35" ht="15.75" customHeight="1">
      <c r="A119" s="516" t="s">
        <v>543</v>
      </c>
      <c r="C119" s="243"/>
      <c r="L119" s="812" t="str">
        <f>DBCS(情報!$D$2)</f>
        <v>令和３年度</v>
      </c>
      <c r="N119" s="246" t="s">
        <v>358</v>
      </c>
      <c r="O119" s="246"/>
      <c r="P119" s="246"/>
      <c r="Q119" s="246"/>
    </row>
    <row r="120" spans="1:35" ht="13.5" customHeight="1">
      <c r="A120" s="534"/>
      <c r="B120" s="243"/>
      <c r="N120" s="246" t="s">
        <v>265</v>
      </c>
      <c r="O120" s="246"/>
      <c r="P120" s="246"/>
      <c r="Q120" s="246"/>
    </row>
    <row r="121" spans="1:35" ht="13.5" customHeight="1" thickBot="1">
      <c r="N121" s="244" t="str">
        <f>情報!D2&amp;"財政収支状況(組合)"</f>
        <v>令和3年度財政収支状況(組合)</v>
      </c>
    </row>
    <row r="122" spans="1:35" ht="13.5" customHeight="1" thickBot="1">
      <c r="K122" s="526" t="str">
        <f>W123&amp;"("&amp;TEXT(W127,"#,##0.00;-#,##0.00;#")&amp;"%)内訳"</f>
        <v>国庫支出金(24.31%)内訳</v>
      </c>
      <c r="L122" s="527"/>
      <c r="O122" s="1244" t="s">
        <v>614</v>
      </c>
      <c r="P122" s="1245" t="s">
        <v>617</v>
      </c>
      <c r="Q122" s="1245" t="s">
        <v>673</v>
      </c>
      <c r="R122" s="1245" t="s">
        <v>674</v>
      </c>
      <c r="S122" s="1245" t="s">
        <v>675</v>
      </c>
      <c r="T122" s="1245" t="s">
        <v>676</v>
      </c>
      <c r="U122" s="1245" t="s">
        <v>677</v>
      </c>
      <c r="V122" s="1245" t="s">
        <v>678</v>
      </c>
      <c r="W122" s="1245" t="s">
        <v>618</v>
      </c>
      <c r="X122" s="1245" t="s">
        <v>679</v>
      </c>
      <c r="Y122" s="1245" t="s">
        <v>680</v>
      </c>
      <c r="Z122" s="1245" t="s">
        <v>681</v>
      </c>
      <c r="AA122" s="1245" t="s">
        <v>682</v>
      </c>
      <c r="AB122" s="1245" t="s">
        <v>683</v>
      </c>
      <c r="AC122" s="1245" t="s">
        <v>634</v>
      </c>
      <c r="AD122" s="1245" t="s">
        <v>635</v>
      </c>
      <c r="AE122" s="1245" t="s">
        <v>636</v>
      </c>
      <c r="AF122" s="1283" t="s">
        <v>637</v>
      </c>
      <c r="AG122" s="1284"/>
    </row>
    <row r="123" spans="1:35" ht="13.5" customHeight="1" thickBot="1">
      <c r="K123" s="525" t="str">
        <f>Q124</f>
        <v>事務費負担金</v>
      </c>
      <c r="L123" s="528" t="str">
        <f>TEXT(Q127,"#,##0.00;-#,##0.00;0.00")&amp;"%"</f>
        <v>0.18%</v>
      </c>
      <c r="N123" s="247" t="s">
        <v>268</v>
      </c>
      <c r="O123" s="248" t="s">
        <v>359</v>
      </c>
      <c r="P123" s="386" t="s">
        <v>269</v>
      </c>
      <c r="Q123" s="387" t="str">
        <f>IF(Q127&lt;&gt;0,"","国庫支出金内の")</f>
        <v/>
      </c>
      <c r="R123" s="388" t="str">
        <f>IF(R127&lt;&gt;0,"",IF(Q123="","国庫支出金内の",""))</f>
        <v/>
      </c>
      <c r="S123" s="388" t="str">
        <f>IF(S127&lt;&gt;0,"",IF(R123="","国庫支出金内の",""))</f>
        <v/>
      </c>
      <c r="T123" s="388" t="str">
        <f>IF(T127&lt;&gt;0,"",IF(S123="","国庫支出金内の",""))</f>
        <v/>
      </c>
      <c r="U123" s="388" t="str">
        <f>IF(U127&lt;&gt;0,"",IF(T123="","国庫支出金内の",""))</f>
        <v/>
      </c>
      <c r="V123" s="388" t="str">
        <f>IF(V127&lt;&gt;0,"",IF(U123="","国庫支出金内の",""))</f>
        <v/>
      </c>
      <c r="W123" s="389" t="s">
        <v>270</v>
      </c>
      <c r="X123" s="390" t="s">
        <v>360</v>
      </c>
      <c r="Y123" s="391" t="str">
        <f>IF(Y127&lt;&gt;0,"","都出金内の")</f>
        <v/>
      </c>
      <c r="Z123" s="388" t="str">
        <f>IF(Z127&lt;&gt;0,"",IF(Y123="","都支出金内の",""))</f>
        <v/>
      </c>
      <c r="AA123" s="392" t="s">
        <v>361</v>
      </c>
      <c r="AB123" s="393" t="s">
        <v>362</v>
      </c>
      <c r="AC123" s="394"/>
      <c r="AD123" s="395"/>
      <c r="AE123" s="395"/>
      <c r="AF123" s="395"/>
      <c r="AG123" s="396" t="s">
        <v>363</v>
      </c>
    </row>
    <row r="124" spans="1:35" ht="13.5" customHeight="1" thickBot="1">
      <c r="K124" s="525" t="str">
        <f>R124</f>
        <v>療養給付費等補助金</v>
      </c>
      <c r="L124" s="528" t="str">
        <f>TEXT(R127,"#,##0.00;-#,##0.00;0.00")&amp;"%"</f>
        <v>23.56%</v>
      </c>
      <c r="N124" s="264"/>
      <c r="O124" s="265" t="s">
        <v>275</v>
      </c>
      <c r="P124" s="397"/>
      <c r="Q124" s="398" t="s">
        <v>364</v>
      </c>
      <c r="R124" s="170" t="s">
        <v>365</v>
      </c>
      <c r="S124" s="399" t="s">
        <v>366</v>
      </c>
      <c r="T124" s="399" t="s">
        <v>367</v>
      </c>
      <c r="U124" s="399" t="s">
        <v>368</v>
      </c>
      <c r="V124" s="400" t="s">
        <v>369</v>
      </c>
      <c r="W124" s="401"/>
      <c r="X124" s="402"/>
      <c r="Y124" s="399" t="s">
        <v>367</v>
      </c>
      <c r="Z124" s="403" t="s">
        <v>369</v>
      </c>
      <c r="AA124" s="402"/>
      <c r="AB124" s="402"/>
      <c r="AC124" s="404" t="s">
        <v>288</v>
      </c>
      <c r="AD124" s="404" t="s">
        <v>101</v>
      </c>
      <c r="AE124" s="404" t="s">
        <v>370</v>
      </c>
      <c r="AF124" s="405" t="s">
        <v>371</v>
      </c>
      <c r="AG124" s="406"/>
    </row>
    <row r="125" spans="1:35" ht="13.5" customHeight="1" thickBot="1">
      <c r="K125" s="525" t="str">
        <f>S124</f>
        <v>高額医療費共同事業補助金</v>
      </c>
      <c r="L125" s="528" t="str">
        <f>TEXT(S127,"#,##0.00;-#,##0.00;0.00")&amp;"%"</f>
        <v>0.27%</v>
      </c>
      <c r="N125" s="264" t="s">
        <v>290</v>
      </c>
      <c r="O125" s="1562">
        <v>467400</v>
      </c>
      <c r="P125" s="1563">
        <v>289537</v>
      </c>
      <c r="Q125" s="1563">
        <v>855</v>
      </c>
      <c r="R125" s="1563">
        <v>110103</v>
      </c>
      <c r="S125" s="1564">
        <v>1272</v>
      </c>
      <c r="T125" s="1564">
        <v>245</v>
      </c>
      <c r="U125" s="1564">
        <v>591</v>
      </c>
      <c r="V125" s="1564">
        <v>543</v>
      </c>
      <c r="W125" s="1564">
        <v>113609</v>
      </c>
      <c r="X125" s="1564">
        <v>1352</v>
      </c>
      <c r="Y125" s="1564">
        <v>100</v>
      </c>
      <c r="Z125" s="1564">
        <v>4370</v>
      </c>
      <c r="AA125" s="1564">
        <v>4470</v>
      </c>
      <c r="AB125" s="1564">
        <v>5868</v>
      </c>
      <c r="AC125" s="1564">
        <v>3284</v>
      </c>
      <c r="AD125" s="1564">
        <v>48178</v>
      </c>
      <c r="AE125" s="1564">
        <v>0</v>
      </c>
      <c r="AF125" s="1564">
        <v>1073</v>
      </c>
      <c r="AG125" s="1565">
        <f>SUM(AC125:AF125)</f>
        <v>52535</v>
      </c>
      <c r="AI125" s="407"/>
    </row>
    <row r="126" spans="1:35" ht="13.5" customHeight="1" thickBot="1">
      <c r="K126" s="525" t="str">
        <f>T124</f>
        <v>特定健診補助金</v>
      </c>
      <c r="L126" s="528" t="str">
        <f>TEXT(T127,"#,##0.00;-#,##0.00;0.00")&amp;"%"</f>
        <v>0.05%</v>
      </c>
      <c r="N126" s="279" t="s">
        <v>291</v>
      </c>
      <c r="O126" s="264"/>
      <c r="P126" s="408">
        <f t="shared" ref="P126:AG126" si="20">ROUND(P125/$O125*100,3)</f>
        <v>61.945999999999998</v>
      </c>
      <c r="Q126" s="408">
        <f t="shared" si="20"/>
        <v>0.183</v>
      </c>
      <c r="R126" s="408">
        <f t="shared" si="20"/>
        <v>23.556000000000001</v>
      </c>
      <c r="S126" s="408">
        <f t="shared" si="20"/>
        <v>0.27200000000000002</v>
      </c>
      <c r="T126" s="408">
        <f t="shared" si="20"/>
        <v>5.1999999999999998E-2</v>
      </c>
      <c r="U126" s="408">
        <f t="shared" si="20"/>
        <v>0.126</v>
      </c>
      <c r="V126" s="281">
        <f t="shared" si="20"/>
        <v>0.11600000000000001</v>
      </c>
      <c r="W126" s="408">
        <f t="shared" si="20"/>
        <v>24.306999999999999</v>
      </c>
      <c r="X126" s="408">
        <f t="shared" si="20"/>
        <v>0.28899999999999998</v>
      </c>
      <c r="Y126" s="408">
        <f t="shared" si="20"/>
        <v>2.1000000000000001E-2</v>
      </c>
      <c r="Z126" s="408">
        <f t="shared" si="20"/>
        <v>0.93500000000000005</v>
      </c>
      <c r="AA126" s="408">
        <f t="shared" si="20"/>
        <v>0.95599999999999996</v>
      </c>
      <c r="AB126" s="408">
        <f t="shared" si="20"/>
        <v>1.2549999999999999</v>
      </c>
      <c r="AC126" s="408">
        <f t="shared" si="20"/>
        <v>0.70299999999999996</v>
      </c>
      <c r="AD126" s="408">
        <f t="shared" si="20"/>
        <v>10.308</v>
      </c>
      <c r="AE126" s="280">
        <f t="shared" si="20"/>
        <v>0</v>
      </c>
      <c r="AF126" s="408">
        <f t="shared" si="20"/>
        <v>0.23</v>
      </c>
      <c r="AG126" s="280">
        <f t="shared" si="20"/>
        <v>11.24</v>
      </c>
    </row>
    <row r="127" spans="1:35" ht="13.5" customHeight="1" thickBot="1">
      <c r="K127" s="525" t="str">
        <f>U124</f>
        <v>出産育児一時金補助金</v>
      </c>
      <c r="L127" s="528" t="str">
        <f>TEXT(U127,"#,##0.00;-#,##0.00;0.00")&amp;"%"</f>
        <v>0.13%</v>
      </c>
      <c r="N127" s="279" t="s">
        <v>291</v>
      </c>
      <c r="O127" s="300" t="s">
        <v>292</v>
      </c>
      <c r="P127" s="409">
        <f t="shared" ref="P127:V127" si="21">ROUND(P125/$O125*100,2)</f>
        <v>61.95</v>
      </c>
      <c r="Q127" s="409">
        <f t="shared" si="21"/>
        <v>0.18</v>
      </c>
      <c r="R127" s="409">
        <f t="shared" si="21"/>
        <v>23.56</v>
      </c>
      <c r="S127" s="409">
        <f t="shared" si="21"/>
        <v>0.27</v>
      </c>
      <c r="T127" s="409">
        <f t="shared" si="21"/>
        <v>0.05</v>
      </c>
      <c r="U127" s="409">
        <f t="shared" si="21"/>
        <v>0.13</v>
      </c>
      <c r="V127" s="287">
        <f t="shared" si="21"/>
        <v>0.12</v>
      </c>
      <c r="W127" s="409">
        <f>SUM(Q127:V127)</f>
        <v>24.31</v>
      </c>
      <c r="X127" s="409">
        <f>ROUND(X125/$O125*100,2)</f>
        <v>0.28999999999999998</v>
      </c>
      <c r="Y127" s="409">
        <f>ROUND(Y125/$O125*100,2)</f>
        <v>0.02</v>
      </c>
      <c r="Z127" s="409">
        <f>ROUND(Z125/$O125*100,2)</f>
        <v>0.93</v>
      </c>
      <c r="AA127" s="409">
        <f>SUM(Y127:Z127)</f>
        <v>0.95000000000000007</v>
      </c>
      <c r="AB127" s="409">
        <f>ROUND(AB125/$O125*100,2)</f>
        <v>1.26</v>
      </c>
      <c r="AC127" s="409">
        <f>ROUND(AC125/$O125*100,2)</f>
        <v>0.7</v>
      </c>
      <c r="AD127" s="409">
        <f>ROUND(AD125/$O125*100,2)</f>
        <v>10.31</v>
      </c>
      <c r="AE127" s="285">
        <f>ROUND(AE125/$O125*100,2)</f>
        <v>0</v>
      </c>
      <c r="AF127" s="1264">
        <f>100-(P127+W127+X127+AA127+AB127+AC127+AD127)</f>
        <v>0.22999999999997556</v>
      </c>
      <c r="AG127" s="285">
        <f>ROUND(100-(P127+W127+X127+AA127+AB127),2)</f>
        <v>11.24</v>
      </c>
    </row>
    <row r="128" spans="1:35" ht="13.5" customHeight="1" thickBot="1">
      <c r="K128" s="529" t="s">
        <v>369</v>
      </c>
      <c r="L128" s="521" t="str">
        <f>TEXT(V127,"#,##0.00;-#,##0.00;0.00")&amp;"%"</f>
        <v>0.12%</v>
      </c>
      <c r="O128" s="290" t="s">
        <v>293</v>
      </c>
      <c r="P128" s="291" t="str">
        <f>IF(AND(P127=0,P125&lt;&gt;0),P123&amp;P124&amp;",","")</f>
        <v/>
      </c>
      <c r="Q128" s="291"/>
      <c r="R128" s="291" t="str">
        <f t="shared" ref="R128:AG128" si="22">IF(AND(R127=0,R125&lt;&gt;0),R123&amp;R124&amp;",","")</f>
        <v/>
      </c>
      <c r="S128" s="291" t="str">
        <f t="shared" si="22"/>
        <v/>
      </c>
      <c r="T128" s="291" t="str">
        <f t="shared" si="22"/>
        <v/>
      </c>
      <c r="U128" s="291" t="str">
        <f t="shared" si="22"/>
        <v/>
      </c>
      <c r="V128" s="291" t="str">
        <f t="shared" si="22"/>
        <v/>
      </c>
      <c r="W128" s="291" t="str">
        <f t="shared" si="22"/>
        <v/>
      </c>
      <c r="X128" s="291" t="str">
        <f t="shared" si="22"/>
        <v/>
      </c>
      <c r="Y128" s="291" t="str">
        <f t="shared" si="22"/>
        <v/>
      </c>
      <c r="Z128" s="291" t="str">
        <f t="shared" si="22"/>
        <v/>
      </c>
      <c r="AA128" s="291" t="str">
        <f t="shared" si="22"/>
        <v/>
      </c>
      <c r="AB128" s="291" t="str">
        <f t="shared" si="22"/>
        <v/>
      </c>
      <c r="AC128" s="291" t="str">
        <f t="shared" si="22"/>
        <v/>
      </c>
      <c r="AD128" s="291" t="str">
        <f t="shared" si="22"/>
        <v/>
      </c>
      <c r="AE128" s="291" t="str">
        <f t="shared" si="22"/>
        <v/>
      </c>
      <c r="AF128" s="291" t="str">
        <f t="shared" si="22"/>
        <v/>
      </c>
      <c r="AG128" s="291" t="str">
        <f t="shared" si="22"/>
        <v/>
      </c>
    </row>
    <row r="129" spans="11:41" ht="13.5" customHeight="1">
      <c r="O129" s="264" t="s">
        <v>294</v>
      </c>
      <c r="P129" s="264" t="str">
        <f>P128&amp;Q128&amp;R128&amp;S128&amp;T128&amp;U128&amp;V128&amp;W128&amp;X128&amp;Y128&amp;Z128&amp;AA128&amp;AB128&amp;AC128&amp;AD128&amp;AE128&amp;AF128&amp;AG128</f>
        <v/>
      </c>
      <c r="Q129" s="264">
        <f>LEN(P129)</f>
        <v>0</v>
      </c>
      <c r="R129" s="264" t="str">
        <f>IF(ISERROR(Q11),"",IF(Q129=0,"","注:"&amp;LEFT(P129,Q129-1)&amp;"は端数処理により０％になっている。"))</f>
        <v/>
      </c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</row>
    <row r="131" spans="11:41" ht="13.5" customHeight="1" thickBot="1">
      <c r="K131" s="530" t="str">
        <f>AA123&amp;"("&amp;TEXT(AA127,"#,##0.00;-#,##0.00;#")&amp;"%)内訳"</f>
        <v>都支出金(0.95%)内訳</v>
      </c>
      <c r="L131" s="531"/>
      <c r="N131" s="298" t="s">
        <v>296</v>
      </c>
      <c r="O131" s="299" t="s">
        <v>297</v>
      </c>
      <c r="P131" s="410" t="s">
        <v>372</v>
      </c>
      <c r="Q131" s="411" t="s">
        <v>373</v>
      </c>
      <c r="R131" s="412" t="s">
        <v>374</v>
      </c>
      <c r="S131" s="413" t="s">
        <v>375</v>
      </c>
      <c r="T131" s="414" t="s">
        <v>376</v>
      </c>
      <c r="U131" s="255" t="s">
        <v>377</v>
      </c>
      <c r="X131" s="264"/>
      <c r="Y131" s="264"/>
      <c r="Z131" s="264"/>
      <c r="AD131" s="264"/>
      <c r="AE131" s="264"/>
      <c r="AF131" s="264"/>
      <c r="AG131" s="264"/>
      <c r="AH131" s="264"/>
      <c r="AI131" s="264"/>
      <c r="AJ131" s="264"/>
      <c r="AK131" s="264"/>
    </row>
    <row r="132" spans="11:41" ht="13.5" customHeight="1" thickBot="1">
      <c r="K132" s="525" t="str">
        <f>Y124</f>
        <v>特定健診補助金</v>
      </c>
      <c r="L132" s="528" t="str">
        <f>TEXT(Y127,"#,##0.00;-#,##0.00;0.00")&amp;"%"</f>
        <v>0.02%</v>
      </c>
      <c r="O132" s="300" t="s">
        <v>292</v>
      </c>
      <c r="P132" s="301" t="str">
        <f>TEXT(P127,"#,##0.00;-#,##0.00;#")</f>
        <v>61.95</v>
      </c>
      <c r="Q132" s="301" t="str">
        <f>TEXT(W127,"#,##0.00;-#,##0.00;#")</f>
        <v>24.31</v>
      </c>
      <c r="R132" s="301" t="str">
        <f>TEXT(X127,"#,##0.00;-#,##0.00;#")</f>
        <v>0.29</v>
      </c>
      <c r="S132" s="301" t="str">
        <f>TEXT(AA127,"#,##0.00;-#,##0.00;#")</f>
        <v>0.95</v>
      </c>
      <c r="T132" s="415" t="str">
        <f>TEXT(AB127,"#,##0.00;-#,##0.00;#")</f>
        <v>1.26</v>
      </c>
      <c r="U132" s="415" t="str">
        <f>TEXT(AG127,"#,##0.00;-#,##0.00;#")</f>
        <v>11.24</v>
      </c>
      <c r="X132" s="264"/>
      <c r="Y132" s="264"/>
      <c r="Z132" s="264"/>
      <c r="AD132" s="264"/>
      <c r="AE132" s="264"/>
      <c r="AF132" s="264"/>
      <c r="AG132" s="264"/>
      <c r="AH132" s="264"/>
      <c r="AI132" s="264"/>
      <c r="AJ132" s="264"/>
      <c r="AK132" s="264"/>
      <c r="AL132" s="264"/>
      <c r="AM132" s="264"/>
      <c r="AN132" s="264"/>
      <c r="AO132" s="264"/>
    </row>
    <row r="133" spans="11:41" ht="13.5" customHeight="1">
      <c r="K133" s="525" t="str">
        <f>Z124</f>
        <v>その他</v>
      </c>
      <c r="L133" s="528" t="str">
        <f>TEXT(Z127,"#,##0.00;-#,##0.00;0.00")&amp;"%"</f>
        <v>0.93%</v>
      </c>
      <c r="O133" s="264" t="s">
        <v>302</v>
      </c>
      <c r="P133" s="264" t="str">
        <f>P131&amp;" "&amp;P132&amp;"%"</f>
        <v xml:space="preserve"> 保険料 61.95%</v>
      </c>
      <c r="Q133" s="264" t="str">
        <f>IF(W127=0,"",Q131&amp;Q132&amp;"%")</f>
        <v>国庫支出金 24.31%</v>
      </c>
      <c r="R133" s="264" t="str">
        <f>R131&amp;
R132&amp;"%"</f>
        <v>前期高齢者
交付金
0.29%</v>
      </c>
      <c r="S133" s="264" t="str">
        <f>S131&amp;
S132&amp;"%"</f>
        <v>都支出金 0.95%</v>
      </c>
      <c r="T133" s="264" t="str">
        <f>IF(T132=0,"",T131&amp;CHAR(13)&amp;
T132&amp;"%")</f>
        <v>高額医療費
共同事業交付金_x000D_1.26%</v>
      </c>
      <c r="U133" s="264" t="str">
        <f>U131&amp;U132&amp;"%"</f>
        <v xml:space="preserve"> その他
11.24%</v>
      </c>
      <c r="W133" s="264"/>
      <c r="X133" s="264"/>
      <c r="AL133" s="264"/>
      <c r="AM133" s="264"/>
      <c r="AN133" s="264"/>
      <c r="AO133" s="264"/>
    </row>
    <row r="134" spans="11:41" ht="13.5" customHeight="1">
      <c r="O134" s="264" t="s">
        <v>303</v>
      </c>
      <c r="P134" s="305">
        <f>ROUND(P127,0)</f>
        <v>62</v>
      </c>
      <c r="Q134" s="305">
        <f>ROUND(W127,0)</f>
        <v>24</v>
      </c>
      <c r="R134" s="305">
        <f>ROUND(X127,0)</f>
        <v>0</v>
      </c>
      <c r="S134" s="305">
        <f>ROUND(AA127,0)</f>
        <v>1</v>
      </c>
      <c r="T134" s="305">
        <f>ROUND(AB127,0)</f>
        <v>1</v>
      </c>
      <c r="U134" s="305">
        <f>ROUND(100-(SUM(P134:T134)),0)</f>
        <v>12</v>
      </c>
      <c r="W134" s="305"/>
    </row>
    <row r="135" spans="11:41" ht="13.5" customHeight="1">
      <c r="K135" s="532" t="str">
        <f>AG123&amp;"("&amp;TEXT(AG127,"#,##0.00;-#,##0.00;#")&amp;"%)内訳"</f>
        <v>その他計(11.24%)内訳</v>
      </c>
      <c r="L135" s="533"/>
      <c r="N135" s="416" t="s">
        <v>378</v>
      </c>
      <c r="O135" s="264"/>
      <c r="P135" s="417"/>
      <c r="Q135" s="418"/>
      <c r="R135" s="419"/>
      <c r="S135" s="420"/>
      <c r="T135" s="421"/>
      <c r="U135" s="368"/>
    </row>
    <row r="136" spans="11:41" ht="13.5" customHeight="1" thickBot="1">
      <c r="K136" s="525" t="str">
        <f>AC124</f>
        <v>基金等繰入金</v>
      </c>
      <c r="L136" s="528" t="str">
        <f>TEXT(AC127,"#,##0.00;-#,##0.00;0.00")&amp;"%"</f>
        <v>0.70%</v>
      </c>
      <c r="N136" s="298" t="s">
        <v>304</v>
      </c>
      <c r="O136" s="299" t="s">
        <v>305</v>
      </c>
      <c r="P136" s="422" t="s">
        <v>379</v>
      </c>
      <c r="Q136" s="423" t="s">
        <v>308</v>
      </c>
      <c r="R136" s="424" t="s">
        <v>380</v>
      </c>
      <c r="S136" s="425" t="s">
        <v>361</v>
      </c>
      <c r="T136" s="426" t="s">
        <v>381</v>
      </c>
      <c r="U136" s="427" t="s">
        <v>98</v>
      </c>
    </row>
    <row r="137" spans="11:41" ht="13.5" customHeight="1" thickBot="1">
      <c r="K137" s="525" t="str">
        <f>AD124</f>
        <v>繰越金</v>
      </c>
      <c r="L137" s="528" t="str">
        <f>TEXT(AD127,"#,##0.00;-#,##0.00;0.00")&amp;"%"</f>
        <v>10.31%</v>
      </c>
      <c r="O137" s="318" t="s">
        <v>292</v>
      </c>
      <c r="P137" s="301" t="str">
        <f>TEXT(P127,"#,##0.00;-#,##0.00;0")</f>
        <v>61.95</v>
      </c>
      <c r="Q137" s="301" t="str">
        <f>TEXT(W127,"#,##0.00;-#,##0.00;0")</f>
        <v>24.31</v>
      </c>
      <c r="R137" s="301" t="str">
        <f>TEXT(X127,"#,##0.00;-#,##0.00;0")</f>
        <v>0.29</v>
      </c>
      <c r="S137" s="301" t="str">
        <f>TEXT(AA127,"#,##0.00;-#,##0.00;0")</f>
        <v>0.95</v>
      </c>
      <c r="T137" s="301" t="str">
        <f>TEXT(AB127,"#,##0.00;-#,##0.00;0")</f>
        <v>1.26</v>
      </c>
      <c r="U137" s="301" t="str">
        <f>TEXT(AG127,"#,##0.00;-#,##0.00;0")</f>
        <v>11.24</v>
      </c>
    </row>
    <row r="138" spans="11:41" ht="13.5" customHeight="1">
      <c r="K138" s="525" t="str">
        <f>AE124</f>
        <v>組合債</v>
      </c>
      <c r="L138" s="528" t="str">
        <f>TEXT(AE127,"#,##0.00;-#,##0.00")&amp;"%"</f>
        <v>0.00%</v>
      </c>
      <c r="O138" s="264" t="s">
        <v>302</v>
      </c>
      <c r="P138" s="264" t="str">
        <f>P136&amp;
P137&amp;"%"</f>
        <v xml:space="preserve"> 保険料
61.95%</v>
      </c>
      <c r="Q138" s="264" t="str">
        <f>Q136&amp;
Q137&amp;"%"</f>
        <v>国庫支出金 24.31%</v>
      </c>
      <c r="R138" s="264" t="str">
        <f>R136&amp;
R137&amp;"%"</f>
        <v>前期高齢者交付金 0.29%</v>
      </c>
      <c r="S138" s="264" t="str">
        <f>S136&amp;
S137&amp;"%"</f>
        <v>都支出金0.95%</v>
      </c>
      <c r="T138" s="264" t="str">
        <f>IF(T137=0,"",T136&amp;
T137&amp;"%")</f>
        <v>共同事業
交付金
1.26%</v>
      </c>
      <c r="U138" s="264" t="str">
        <f>IF(U137=0,"",U136&amp;
U137&amp;"%")</f>
        <v>その他11.24%</v>
      </c>
    </row>
    <row r="139" spans="11:41" ht="13.5" customHeight="1">
      <c r="K139" s="525" t="str">
        <f>AF124</f>
        <v>その他の収入</v>
      </c>
      <c r="L139" s="528" t="str">
        <f>TEXT(AF127,"#,##0.00;-#,##0.00;0.00")&amp;"%"</f>
        <v>0.23%</v>
      </c>
      <c r="O139" s="264" t="s">
        <v>303</v>
      </c>
      <c r="P139" s="305">
        <f>ROUND(P127,1)</f>
        <v>62</v>
      </c>
      <c r="Q139" s="305">
        <f>ROUND(W127,1)</f>
        <v>24.3</v>
      </c>
      <c r="R139" s="305">
        <f>ROUND(X127,1)</f>
        <v>0.3</v>
      </c>
      <c r="S139" s="305">
        <f>ROUND(AA127,1)</f>
        <v>1</v>
      </c>
      <c r="T139" s="305">
        <f>ROUND(AB127,1)</f>
        <v>1.3</v>
      </c>
      <c r="U139" s="305">
        <f>ROUND(AG127,1)</f>
        <v>11.2</v>
      </c>
    </row>
    <row r="141" spans="11:41" ht="13.5" customHeight="1">
      <c r="N141" s="297" t="s">
        <v>235</v>
      </c>
      <c r="O141" s="321" t="s">
        <v>311</v>
      </c>
      <c r="P141" s="244" t="str">
        <f>"{"&amp;""""&amp;P133&amp;""""&amp;","&amp;""""&amp;Q133&amp;""""&amp;","&amp;""""&amp;R133&amp;""""&amp;","&amp;""""&amp;S133&amp;""""&amp;","&amp;""""&amp;T133&amp;""""&amp;","&amp;""""&amp;U133&amp;""""&amp;"}"</f>
        <v>{" 保険料 61.95%","国庫支出金 24.31%","前期高齢者
交付金
0.29%","都支出金 0.95%","高額医療費
共同事業交付金_x000D_1.26%"," その他
11.24%"}</v>
      </c>
      <c r="Q141" s="244" t="str">
        <f>"{"&amp;P134&amp;","&amp;Q134&amp;","&amp;R134&amp;","&amp;S134&amp;","&amp;T134&amp;","&amp;U134&amp;"}"</f>
        <v>{62,24,0,1,1,12}</v>
      </c>
    </row>
    <row r="142" spans="11:41" ht="13.5" customHeight="1">
      <c r="N142" s="244" t="s">
        <v>378</v>
      </c>
      <c r="O142" s="321" t="s">
        <v>312</v>
      </c>
      <c r="P142" s="244" t="str">
        <f>"{"&amp;""""&amp;P138&amp;""""&amp;","&amp;""""&amp;Q138&amp;""""&amp;","&amp;""""&amp;R138&amp;""""&amp;","&amp;""""&amp;S138&amp;""""&amp;","&amp;""""&amp;T138&amp;""""&amp;","&amp;""""&amp;U138&amp;""""&amp;"}"</f>
        <v>{" 保険料
61.95%","国庫支出金 24.31%","前期高齢者交付金 0.29%","都支出金0.95%","共同事業
交付金
1.26%","その他11.24%"}</v>
      </c>
      <c r="Q142" s="244" t="str">
        <f>"{"&amp;P139&amp;","&amp;Q139&amp;","&amp;R139&amp;","&amp;S139&amp;","&amp;T139&amp;","&amp;U139&amp;"}"</f>
        <v>{62,24.3,0.3,1,1.3,11.2}</v>
      </c>
    </row>
    <row r="144" spans="11:41" ht="13.5" customHeight="1">
      <c r="O144" s="244" t="str">
        <f>TEXT(O125,"#,##0")&amp;CHAR(10)&amp;N125</f>
        <v>467,400
百万円</v>
      </c>
    </row>
    <row r="147" spans="2:43" ht="13.5" customHeight="1" thickBot="1"/>
    <row r="148" spans="2:43" ht="13.5" customHeight="1" thickBot="1">
      <c r="O148" s="1285" t="s">
        <v>650</v>
      </c>
      <c r="P148" s="1271" t="s">
        <v>684</v>
      </c>
      <c r="Q148" s="1271" t="s">
        <v>652</v>
      </c>
      <c r="R148" s="1271" t="s">
        <v>313</v>
      </c>
      <c r="S148" s="1271" t="s">
        <v>654</v>
      </c>
      <c r="T148" s="1271" t="s">
        <v>655</v>
      </c>
      <c r="U148" s="1271" t="s">
        <v>656</v>
      </c>
      <c r="V148" s="1271" t="s">
        <v>685</v>
      </c>
      <c r="W148" s="1271" t="s">
        <v>686</v>
      </c>
      <c r="X148" s="1271" t="s">
        <v>687</v>
      </c>
      <c r="Y148" s="1271" t="s">
        <v>688</v>
      </c>
      <c r="Z148" s="1271" t="s">
        <v>689</v>
      </c>
      <c r="AA148" s="1271" t="s">
        <v>690</v>
      </c>
      <c r="AB148" s="1279" t="s">
        <v>669</v>
      </c>
      <c r="AD148" s="1277" t="s">
        <v>638</v>
      </c>
      <c r="AE148" s="1277" t="s">
        <v>672</v>
      </c>
      <c r="AF148" s="1277" t="s">
        <v>642</v>
      </c>
      <c r="AG148" s="1277" t="s">
        <v>641</v>
      </c>
      <c r="AH148" s="1277" t="s">
        <v>640</v>
      </c>
      <c r="AI148" s="1277" t="s">
        <v>639</v>
      </c>
      <c r="AJ148" s="1277" t="s">
        <v>691</v>
      </c>
      <c r="AK148" s="1277" t="s">
        <v>692</v>
      </c>
      <c r="AL148" s="1277" t="s">
        <v>693</v>
      </c>
      <c r="AM148" s="1277" t="s">
        <v>645</v>
      </c>
      <c r="AN148" s="1277" t="s">
        <v>646</v>
      </c>
      <c r="AO148" s="1277" t="s">
        <v>647</v>
      </c>
      <c r="AP148" s="1277" t="s">
        <v>648</v>
      </c>
      <c r="AQ148" s="1277" t="s">
        <v>649</v>
      </c>
    </row>
    <row r="149" spans="2:43" ht="13.5" customHeight="1" thickBot="1">
      <c r="B149" s="1843" t="str">
        <f>R129</f>
        <v/>
      </c>
      <c r="C149" s="1843"/>
      <c r="D149" s="1843"/>
      <c r="E149" s="1843"/>
      <c r="F149" s="1843"/>
      <c r="G149" s="1843"/>
      <c r="H149" s="1843"/>
      <c r="I149" s="1843"/>
      <c r="J149" s="1843"/>
      <c r="N149" s="322" t="s">
        <v>314</v>
      </c>
      <c r="O149" s="248" t="s">
        <v>359</v>
      </c>
      <c r="P149" s="323" t="s">
        <v>315</v>
      </c>
      <c r="Q149" s="428"/>
      <c r="R149" s="325"/>
      <c r="S149" s="325"/>
      <c r="T149" s="325"/>
      <c r="U149" s="328" t="s">
        <v>276</v>
      </c>
      <c r="V149" s="330" t="s">
        <v>382</v>
      </c>
      <c r="W149" s="429" t="s">
        <v>383</v>
      </c>
      <c r="X149" s="429" t="s">
        <v>384</v>
      </c>
      <c r="Y149" s="336" t="s">
        <v>385</v>
      </c>
      <c r="Z149" s="430" t="str">
        <f>IF(Z153&lt;&gt;0,"","共同事業拠出金内の")</f>
        <v/>
      </c>
      <c r="AA149" s="431" t="s">
        <v>386</v>
      </c>
      <c r="AB149" s="432" t="s">
        <v>387</v>
      </c>
    </row>
    <row r="150" spans="2:43" ht="13.5" customHeight="1" thickBot="1">
      <c r="N150" s="264"/>
      <c r="O150" s="337" t="s">
        <v>322</v>
      </c>
      <c r="P150" s="338"/>
      <c r="Q150" s="433" t="s">
        <v>323</v>
      </c>
      <c r="R150" s="340" t="s">
        <v>188</v>
      </c>
      <c r="S150" s="340" t="s">
        <v>324</v>
      </c>
      <c r="T150" s="434" t="s">
        <v>98</v>
      </c>
      <c r="U150" s="342" t="s">
        <v>325</v>
      </c>
      <c r="V150" s="338"/>
      <c r="W150" s="435"/>
      <c r="X150" s="435"/>
      <c r="Y150" s="338"/>
      <c r="Z150" s="436" t="s">
        <v>388</v>
      </c>
      <c r="AA150" s="338"/>
      <c r="AB150" s="349"/>
    </row>
    <row r="151" spans="2:43" ht="13.5" customHeight="1" thickBot="1">
      <c r="N151" s="264" t="s">
        <v>290</v>
      </c>
      <c r="O151" s="1562">
        <v>412271</v>
      </c>
      <c r="P151" s="1550">
        <v>14945</v>
      </c>
      <c r="Q151" s="1557">
        <f>SUM(AD151:AE151)</f>
        <v>186457</v>
      </c>
      <c r="R151" s="1558">
        <v>18775</v>
      </c>
      <c r="S151" s="1551">
        <v>0</v>
      </c>
      <c r="T151" s="1559">
        <f>SUM(AF151:AI151)</f>
        <v>10940</v>
      </c>
      <c r="U151" s="1560">
        <v>216172</v>
      </c>
      <c r="V151" s="1560">
        <v>1222</v>
      </c>
      <c r="W151" s="1560">
        <v>82884</v>
      </c>
      <c r="X151" s="1560">
        <v>33704</v>
      </c>
      <c r="Y151" s="1560">
        <v>41522</v>
      </c>
      <c r="Z151" s="1560">
        <v>5739</v>
      </c>
      <c r="AA151" s="1559">
        <f>SUM(AJ151:AL151)</f>
        <v>9245</v>
      </c>
      <c r="AB151" s="1557">
        <f>SUM(AM151:AQ151)</f>
        <v>6837</v>
      </c>
      <c r="AC151" s="1561"/>
      <c r="AD151" s="1551">
        <v>186457</v>
      </c>
      <c r="AE151" s="1551">
        <v>0</v>
      </c>
      <c r="AF151" s="1560">
        <v>4024</v>
      </c>
      <c r="AG151" s="1560">
        <v>152</v>
      </c>
      <c r="AH151" s="1560">
        <v>0</v>
      </c>
      <c r="AI151" s="1560">
        <v>6764</v>
      </c>
      <c r="AJ151" s="1560">
        <v>7218</v>
      </c>
      <c r="AK151" s="1560">
        <v>2027</v>
      </c>
      <c r="AL151" s="1560">
        <v>0</v>
      </c>
      <c r="AM151" s="1551">
        <v>263</v>
      </c>
      <c r="AN151" s="1551">
        <v>575</v>
      </c>
      <c r="AO151" s="1551">
        <v>0</v>
      </c>
      <c r="AP151" s="1551">
        <v>5999</v>
      </c>
      <c r="AQ151" s="1551">
        <v>0</v>
      </c>
    </row>
    <row r="152" spans="2:43" ht="13.5" customHeight="1" thickBot="1">
      <c r="N152" s="279" t="s">
        <v>291</v>
      </c>
      <c r="O152" s="264"/>
      <c r="P152" s="280">
        <f t="shared" ref="P152:AB152" si="23">ROUND(P151/$O151*100,3)</f>
        <v>3.625</v>
      </c>
      <c r="Q152" s="350">
        <f t="shared" si="23"/>
        <v>45.226999999999997</v>
      </c>
      <c r="R152" s="350">
        <f t="shared" si="23"/>
        <v>4.5540000000000003</v>
      </c>
      <c r="S152" s="350">
        <f t="shared" si="23"/>
        <v>0</v>
      </c>
      <c r="T152" s="350">
        <f t="shared" si="23"/>
        <v>2.6539999999999999</v>
      </c>
      <c r="U152" s="350">
        <f t="shared" si="23"/>
        <v>52.433999999999997</v>
      </c>
      <c r="V152" s="350">
        <f t="shared" si="23"/>
        <v>0.29599999999999999</v>
      </c>
      <c r="W152" s="350">
        <f t="shared" si="23"/>
        <v>20.103999999999999</v>
      </c>
      <c r="X152" s="350">
        <f t="shared" si="23"/>
        <v>8.1750000000000007</v>
      </c>
      <c r="Y152" s="350">
        <f t="shared" si="23"/>
        <v>10.071999999999999</v>
      </c>
      <c r="Z152" s="350">
        <f t="shared" si="23"/>
        <v>1.3919999999999999</v>
      </c>
      <c r="AA152" s="350">
        <f t="shared" si="23"/>
        <v>2.242</v>
      </c>
      <c r="AB152" s="350">
        <f t="shared" si="23"/>
        <v>1.6579999999999999</v>
      </c>
    </row>
    <row r="153" spans="2:43" ht="13.5" customHeight="1" thickBot="1">
      <c r="N153" s="279" t="s">
        <v>291</v>
      </c>
      <c r="O153" s="300" t="s">
        <v>292</v>
      </c>
      <c r="P153" s="286">
        <f>ROUND(P151/$O151*100,2)</f>
        <v>3.63</v>
      </c>
      <c r="Q153" s="301">
        <f>U153-(R153+S153+T153)</f>
        <v>45.230000000000004</v>
      </c>
      <c r="R153" s="285">
        <f t="shared" ref="R153:AA153" si="24">ROUND(R151/$O151*100,2)</f>
        <v>4.55</v>
      </c>
      <c r="S153" s="285">
        <f t="shared" si="24"/>
        <v>0</v>
      </c>
      <c r="T153" s="285">
        <f t="shared" si="24"/>
        <v>2.65</v>
      </c>
      <c r="U153" s="285">
        <f t="shared" si="24"/>
        <v>52.43</v>
      </c>
      <c r="V153" s="285">
        <f t="shared" si="24"/>
        <v>0.3</v>
      </c>
      <c r="W153" s="285">
        <f t="shared" si="24"/>
        <v>20.100000000000001</v>
      </c>
      <c r="X153" s="285">
        <f t="shared" si="24"/>
        <v>8.18</v>
      </c>
      <c r="Y153" s="285">
        <f t="shared" si="24"/>
        <v>10.07</v>
      </c>
      <c r="Z153" s="285">
        <f t="shared" si="24"/>
        <v>1.39</v>
      </c>
      <c r="AA153" s="285">
        <f t="shared" si="24"/>
        <v>2.2400000000000002</v>
      </c>
      <c r="AB153" s="301">
        <f>100-P153-U153-V153-W153-X153-Y153-Z153-AA153</f>
        <v>1.6600000000000064</v>
      </c>
    </row>
    <row r="154" spans="2:43" ht="13.5" customHeight="1" thickBot="1">
      <c r="O154" s="290" t="s">
        <v>293</v>
      </c>
      <c r="P154" s="291" t="str">
        <f t="shared" ref="P154:X154" si="25">IF(P153=0,P149&amp;P150&amp;",","")</f>
        <v/>
      </c>
      <c r="Q154" s="292" t="str">
        <f t="shared" si="25"/>
        <v/>
      </c>
      <c r="R154" s="292" t="str">
        <f t="shared" si="25"/>
        <v/>
      </c>
      <c r="S154" s="292" t="str">
        <f t="shared" si="25"/>
        <v>高額介護合算療養費,</v>
      </c>
      <c r="T154" s="292" t="str">
        <f t="shared" si="25"/>
        <v/>
      </c>
      <c r="U154" s="292" t="str">
        <f t="shared" si="25"/>
        <v/>
      </c>
      <c r="V154" s="292" t="str">
        <f t="shared" si="25"/>
        <v/>
      </c>
      <c r="W154" s="292" t="str">
        <f t="shared" si="25"/>
        <v/>
      </c>
      <c r="X154" s="292" t="str">
        <f t="shared" si="25"/>
        <v/>
      </c>
      <c r="Y154" s="292" t="str">
        <f>IF(Y153=0,Y149&amp;Y150&amp;",","")</f>
        <v/>
      </c>
      <c r="Z154" s="292" t="str">
        <f>IF(Z153=0,Z149&amp;Z150&amp;",","")</f>
        <v/>
      </c>
      <c r="AA154" s="292" t="str">
        <f>IF(AA153=0,AA149&amp;AA150&amp;",","")</f>
        <v/>
      </c>
      <c r="AB154" s="292" t="str">
        <f>IF(AB153=0,AB149&amp;AB150&amp;",","")</f>
        <v/>
      </c>
    </row>
    <row r="155" spans="2:43" ht="13.5" customHeight="1">
      <c r="O155" s="264" t="s">
        <v>294</v>
      </c>
      <c r="P155" s="264" t="str">
        <f>P154&amp;Q154&amp;R154&amp;S154&amp;T154&amp;U154&amp;V154&amp;W154&amp;X154&amp;Y154&amp;Z154&amp;AA154&amp;AB154</f>
        <v>高額介護合算療養費,</v>
      </c>
      <c r="Q155" s="264">
        <f>LEN(P155)</f>
        <v>10</v>
      </c>
      <c r="R155" s="264" t="str">
        <f>IF(ISERROR(Q11),"",IF(Q155=0,"","注:"&amp;LEFT(P155,Q155-1)&amp;"は端数処理により０％になっている。"))</f>
        <v>注:高額介護合算療養費は端数処理により０％になっている。</v>
      </c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</row>
    <row r="156" spans="2:43" ht="13.5" customHeight="1">
      <c r="N156" s="297" t="s">
        <v>295</v>
      </c>
    </row>
    <row r="157" spans="2:43" ht="13.5" customHeight="1" thickBot="1">
      <c r="N157" s="298" t="s">
        <v>296</v>
      </c>
      <c r="O157" s="299" t="s">
        <v>297</v>
      </c>
      <c r="P157" s="437" t="s">
        <v>330</v>
      </c>
      <c r="Q157" s="438" t="s">
        <v>331</v>
      </c>
      <c r="R157" s="439" t="s">
        <v>333</v>
      </c>
      <c r="S157" s="440" t="s">
        <v>389</v>
      </c>
      <c r="T157" s="440" t="s">
        <v>390</v>
      </c>
      <c r="U157" s="441" t="s">
        <v>391</v>
      </c>
      <c r="V157" s="441" t="s">
        <v>392</v>
      </c>
      <c r="W157" s="437" t="s">
        <v>350</v>
      </c>
      <c r="X157" s="441" t="s">
        <v>337</v>
      </c>
      <c r="AA157" s="264"/>
      <c r="AB157" s="264"/>
      <c r="AC157" s="264"/>
      <c r="AD157" s="264"/>
      <c r="AE157" s="264"/>
    </row>
    <row r="158" spans="2:43" ht="13.5" customHeight="1" thickBot="1">
      <c r="O158" s="300" t="s">
        <v>292</v>
      </c>
      <c r="P158" s="303" t="str">
        <f>TEXT(P153,"#,##0.00;-#,##0.00;0")</f>
        <v>3.63</v>
      </c>
      <c r="Q158" s="415" t="str">
        <f t="shared" ref="Q158:X158" si="26">TEXT(U153,"#,##0.00;-#,##0.00;0")</f>
        <v>52.43</v>
      </c>
      <c r="R158" s="303" t="str">
        <f t="shared" si="26"/>
        <v>0.30</v>
      </c>
      <c r="S158" s="303" t="str">
        <f t="shared" si="26"/>
        <v>20.10</v>
      </c>
      <c r="T158" s="303" t="str">
        <f t="shared" si="26"/>
        <v>8.18</v>
      </c>
      <c r="U158" s="303" t="str">
        <f t="shared" si="26"/>
        <v>10.07</v>
      </c>
      <c r="V158" s="303" t="str">
        <f t="shared" si="26"/>
        <v>1.39</v>
      </c>
      <c r="W158" s="303" t="str">
        <f t="shared" si="26"/>
        <v>2.24</v>
      </c>
      <c r="X158" s="303" t="str">
        <f t="shared" si="26"/>
        <v>1.66</v>
      </c>
      <c r="AA158" s="264"/>
      <c r="AB158" s="264"/>
      <c r="AC158" s="264"/>
      <c r="AD158" s="264"/>
      <c r="AE158" s="264"/>
    </row>
    <row r="159" spans="2:43" ht="13.5" customHeight="1">
      <c r="O159" s="264" t="s">
        <v>302</v>
      </c>
      <c r="P159" s="264"/>
      <c r="Q159" s="264" t="str">
        <f>Q157&amp;Q158&amp;"%"</f>
        <v>一般保険
給付費
52.43%</v>
      </c>
      <c r="R159" s="264"/>
      <c r="S159" s="264"/>
      <c r="T159" s="264"/>
      <c r="U159" s="264"/>
      <c r="V159" s="264"/>
      <c r="W159" s="264"/>
      <c r="X159" s="264"/>
      <c r="Y159" s="264"/>
      <c r="AD159" s="264"/>
      <c r="AE159" s="264"/>
    </row>
    <row r="160" spans="2:43" ht="13.5" customHeight="1" thickBot="1">
      <c r="O160" s="264" t="s">
        <v>303</v>
      </c>
      <c r="P160" s="305">
        <f>ROUND(P153,0)</f>
        <v>4</v>
      </c>
      <c r="Q160" s="305">
        <f>ROUND(U153,0)</f>
        <v>52</v>
      </c>
      <c r="R160" s="320">
        <f>IF(ROUND(V153,0)=0,1,ROUND(V153,0))</f>
        <v>1</v>
      </c>
      <c r="S160" s="305">
        <f>ROUND(W153,0)</f>
        <v>20</v>
      </c>
      <c r="T160" s="305">
        <f>ROUND(X153,0)</f>
        <v>8</v>
      </c>
      <c r="U160" s="305">
        <f>ROUND(Y153,0)</f>
        <v>10</v>
      </c>
      <c r="V160" s="305">
        <f>ROUND(Z153,0)</f>
        <v>1</v>
      </c>
      <c r="W160" s="305">
        <f>ROUND(AA153,0)</f>
        <v>2</v>
      </c>
      <c r="X160" s="305">
        <f>100-SUM(P160:W160)</f>
        <v>2</v>
      </c>
      <c r="AD160" s="264"/>
      <c r="AE160" s="264"/>
    </row>
    <row r="161" spans="14:31" ht="13.5" customHeight="1">
      <c r="O161" s="264"/>
      <c r="P161" s="365"/>
      <c r="Q161" s="366" t="s">
        <v>338</v>
      </c>
      <c r="R161" s="367"/>
      <c r="S161" s="367"/>
      <c r="T161" s="368"/>
      <c r="U161" s="442"/>
      <c r="V161" s="442"/>
      <c r="W161" s="443"/>
      <c r="X161" s="443"/>
      <c r="Y161" s="444" t="s">
        <v>362</v>
      </c>
      <c r="Z161" s="264"/>
      <c r="AA161" s="264"/>
      <c r="AC161" s="264"/>
      <c r="AE161" s="264"/>
    </row>
    <row r="162" spans="14:31" ht="13.5" customHeight="1" thickBot="1">
      <c r="N162" s="298" t="s">
        <v>304</v>
      </c>
      <c r="O162" s="299" t="s">
        <v>305</v>
      </c>
      <c r="P162" s="445" t="s">
        <v>330</v>
      </c>
      <c r="Q162" s="373" t="s">
        <v>393</v>
      </c>
      <c r="R162" s="374" t="s">
        <v>341</v>
      </c>
      <c r="S162" s="374" t="s">
        <v>394</v>
      </c>
      <c r="T162" s="376" t="s">
        <v>301</v>
      </c>
      <c r="U162" s="446" t="s">
        <v>346</v>
      </c>
      <c r="V162" s="446" t="s">
        <v>395</v>
      </c>
      <c r="W162" s="447" t="s">
        <v>396</v>
      </c>
      <c r="X162" s="447" t="s">
        <v>391</v>
      </c>
      <c r="Y162" s="448" t="s">
        <v>397</v>
      </c>
      <c r="Z162" s="372" t="s">
        <v>350</v>
      </c>
      <c r="AA162" s="1280" t="s">
        <v>351</v>
      </c>
      <c r="AC162" s="264"/>
    </row>
    <row r="163" spans="14:31" ht="13.5" customHeight="1" thickBot="1">
      <c r="O163" s="318" t="s">
        <v>292</v>
      </c>
      <c r="P163" s="415" t="str">
        <f>TEXT(P153,"#,##0.00;-#,##0.00;#")</f>
        <v>3.63</v>
      </c>
      <c r="Q163" s="415" t="str">
        <f>TEXT(Q153,"#,##0.00;-#,##0.00;#")</f>
        <v>45.23</v>
      </c>
      <c r="R163" s="415" t="str">
        <f>TEXT(R153,"#,##0.00;-#,##0.00;#")</f>
        <v>4.55</v>
      </c>
      <c r="S163" s="415" t="str">
        <f>TEXT(S153,"#,##0.00;-#,##0.00;#")</f>
        <v/>
      </c>
      <c r="T163" s="415" t="str">
        <f>TEXT(T153,"#,##0.00;-#,##0.00;#")</f>
        <v>2.65</v>
      </c>
      <c r="U163" s="415" t="str">
        <f t="shared" ref="U163:AA163" si="27">TEXT(V153,"#,##0.00;-#,##0.00;#")</f>
        <v>0.30</v>
      </c>
      <c r="V163" s="415" t="str">
        <f t="shared" si="27"/>
        <v>20.10</v>
      </c>
      <c r="W163" s="415" t="str">
        <f t="shared" si="27"/>
        <v>8.18</v>
      </c>
      <c r="X163" s="415" t="str">
        <f t="shared" si="27"/>
        <v>10.07</v>
      </c>
      <c r="Y163" s="415" t="str">
        <f t="shared" si="27"/>
        <v>1.39</v>
      </c>
      <c r="Z163" s="415" t="str">
        <f t="shared" si="27"/>
        <v>2.24</v>
      </c>
      <c r="AA163" s="415" t="str">
        <f t="shared" si="27"/>
        <v>1.66</v>
      </c>
      <c r="AC163" s="264"/>
    </row>
    <row r="164" spans="14:31" ht="13.5" customHeight="1">
      <c r="O164" s="264" t="s">
        <v>302</v>
      </c>
      <c r="P164" s="264" t="str">
        <f>P162&amp;P163&amp;"%"</f>
        <v xml:space="preserve"> 総務費 3.63%</v>
      </c>
      <c r="Q164" s="264" t="str">
        <f>Q162&amp;Q163&amp;"%"</f>
        <v xml:space="preserve"> 療養給付費・
 療養費・移送費
45.23%</v>
      </c>
      <c r="R164" s="264" t="str">
        <f>R162&amp;R163&amp;"%"</f>
        <v xml:space="preserve"> 高額療養費
4.55%</v>
      </c>
      <c r="S164" s="264" t="str">
        <f>IF(S153=0,"データなし",S162&amp;S163&amp;"%")</f>
        <v>データなし</v>
      </c>
      <c r="T164" s="264" t="str">
        <f t="shared" ref="T164:AA164" si="28">T162&amp;T163&amp;"%"</f>
        <v xml:space="preserve"> その他 2.65%</v>
      </c>
      <c r="U164" s="264" t="str">
        <f t="shared" si="28"/>
        <v xml:space="preserve"> 審査支払手数料 0.30%</v>
      </c>
      <c r="V164" s="264" t="str">
        <f t="shared" si="28"/>
        <v xml:space="preserve"> 後期高齢者支援金等
20.10%</v>
      </c>
      <c r="W164" s="264" t="str">
        <f t="shared" si="28"/>
        <v xml:space="preserve"> 前期高齢者
  納付金等
8.18%</v>
      </c>
      <c r="X164" s="264" t="str">
        <f t="shared" si="28"/>
        <v xml:space="preserve"> 介護納付金
10.07%</v>
      </c>
      <c r="Y164" s="264" t="str">
        <f t="shared" si="28"/>
        <v xml:space="preserve"> 高額医療費
共同事業拠出金
1.39%</v>
      </c>
      <c r="Z164" s="264" t="str">
        <f t="shared" si="28"/>
        <v xml:space="preserve"> 保健事業費 2.24%</v>
      </c>
      <c r="AA164" s="264" t="str">
        <f t="shared" si="28"/>
        <v xml:space="preserve"> その他の支出  1.66%</v>
      </c>
    </row>
    <row r="165" spans="14:31" ht="13.5" customHeight="1">
      <c r="O165" s="264" t="s">
        <v>303</v>
      </c>
      <c r="P165" s="305">
        <f>ROUND(P153,0)</f>
        <v>4</v>
      </c>
      <c r="Q165" s="305">
        <f>Q160-(R165+S165+T165)</f>
        <v>44</v>
      </c>
      <c r="R165" s="305">
        <f>ROUND(R153,0)</f>
        <v>5</v>
      </c>
      <c r="S165" s="305">
        <f>ROUND(S153,0)</f>
        <v>0</v>
      </c>
      <c r="T165" s="305">
        <f>ROUND(T153,0)</f>
        <v>3</v>
      </c>
      <c r="U165" s="320">
        <f>IF(ROUND(V153,0)=0,1,ROUND(V153,0))</f>
        <v>1</v>
      </c>
      <c r="V165" s="305">
        <f>ROUND(W153,0)</f>
        <v>20</v>
      </c>
      <c r="W165" s="305">
        <f>ROUND(X153,0)</f>
        <v>8</v>
      </c>
      <c r="X165" s="305">
        <f>ROUND(Y153,0)</f>
        <v>10</v>
      </c>
      <c r="Y165" s="305">
        <f>ROUND(Z153,0)</f>
        <v>1</v>
      </c>
      <c r="Z165" s="305">
        <f>ROUND(AA153,0)</f>
        <v>2</v>
      </c>
      <c r="AA165" s="305">
        <f>100-SUM(P165:Z165)</f>
        <v>2</v>
      </c>
    </row>
    <row r="166" spans="14:31" ht="13.5" customHeight="1">
      <c r="U166" s="297" t="s">
        <v>398</v>
      </c>
    </row>
    <row r="167" spans="14:31" ht="13.5" customHeight="1">
      <c r="N167" s="297" t="s">
        <v>235</v>
      </c>
      <c r="O167" s="321" t="s">
        <v>311</v>
      </c>
      <c r="P167" s="244" t="str">
        <f>"{"&amp;""""&amp;P159&amp;""""&amp;","&amp;""""&amp;Q159&amp;""""&amp;","&amp;""""&amp;R159&amp;""""&amp;","&amp;""""&amp;S159&amp;""""&amp;","&amp;""""&amp;T159&amp;""""&amp;","&amp;""""&amp;U159&amp;""""&amp;","&amp;""""&amp;W159&amp;""""&amp;","&amp;""""&amp;X159&amp;""""&amp;"}"</f>
        <v>{"","一般保険
給付費
52.43%","","","","","",""}</v>
      </c>
      <c r="Q167" s="244" t="str">
        <f>"{"&amp;P160&amp;","&amp;Q160&amp;","&amp;R160&amp;","&amp;S160&amp;","&amp;T160&amp;","&amp;U160&amp;","&amp;W160&amp;","&amp;X160&amp;"}"</f>
        <v>{4,52,1,20,8,10,2,2}</v>
      </c>
      <c r="X167" s="449"/>
    </row>
    <row r="168" spans="14:31" ht="13.5" customHeight="1">
      <c r="O168" s="321" t="s">
        <v>312</v>
      </c>
      <c r="P168" s="244" t="str">
        <f>"{"&amp;""""&amp;P164&amp;""""&amp;","&amp;""""&amp;Q164&amp;""""&amp;","&amp;""""&amp;R164&amp;""""&amp;","&amp;""""&amp;S164&amp;""""&amp;","&amp;""""&amp;T164&amp;""""&amp;","&amp;""""&amp;U164&amp;""""&amp;","&amp;""""&amp;V164&amp;""""&amp;","&amp;""""&amp;W164&amp;""""&amp;","&amp;""""&amp;X164&amp;""""&amp;","&amp;""""&amp;Y164&amp;""""&amp;","&amp;""""&amp;Z164&amp;""""&amp;","&amp;""""&amp;AA164&amp;""""&amp;"}"</f>
        <v>{" 総務費 3.63%"," 療養給付費・
 療養費・移送費
45.23%"," 高額療養費
4.55%","データなし"," その他 2.65%"," 審査支払手数料 0.30%"," 後期高齢者支援金等
20.10%"," 前期高齢者
  納付金等
8.18%"," 介護納付金
10.07%"," 高額医療費
共同事業拠出金
1.39%"," 保健事業費 2.24%"," その他の支出  1.66%"}</v>
      </c>
      <c r="Q168" s="244" t="str">
        <f>"{"&amp;P165&amp;","&amp;Q165&amp;","&amp;R165&amp;","&amp;S165&amp;","&amp;T165&amp;","&amp;U165&amp;","&amp;V165&amp;","&amp;W165&amp;","&amp;X165&amp;","&amp;Y165&amp;","&amp;Z165&amp;","&amp;AA165&amp;"}"</f>
        <v>{4,44,5,0,3,1,20,8,10,1,2,2}</v>
      </c>
    </row>
    <row r="170" spans="14:31" ht="13.5" customHeight="1">
      <c r="O170" s="244" t="str">
        <f>TEXT(O151,"#,##0")&amp;CHAR(10)&amp;N151</f>
        <v>412,271
百万円</v>
      </c>
    </row>
    <row r="177" spans="2:10" ht="13.5" customHeight="1">
      <c r="B177" s="1843" t="str">
        <f>R155</f>
        <v>注:高額介護合算療養費は端数処理により０％になっている。</v>
      </c>
      <c r="C177" s="1843"/>
      <c r="D177" s="1843"/>
      <c r="E177" s="1843"/>
      <c r="F177" s="1843"/>
      <c r="G177" s="1843"/>
      <c r="H177" s="1843"/>
      <c r="I177" s="1843"/>
      <c r="J177" s="1843"/>
    </row>
  </sheetData>
  <mergeCells count="39">
    <mergeCell ref="B90:K91"/>
    <mergeCell ref="B149:J149"/>
    <mergeCell ref="B177:J177"/>
    <mergeCell ref="I78:K78"/>
    <mergeCell ref="I81:L81"/>
    <mergeCell ref="I82:K82"/>
    <mergeCell ref="I83:K83"/>
    <mergeCell ref="I84:K84"/>
    <mergeCell ref="I85:K85"/>
    <mergeCell ref="I77:K77"/>
    <mergeCell ref="B59:K59"/>
    <mergeCell ref="I62:L62"/>
    <mergeCell ref="I63:I67"/>
    <mergeCell ref="J64:J67"/>
    <mergeCell ref="I68:K68"/>
    <mergeCell ref="I69:K69"/>
    <mergeCell ref="I72:L72"/>
    <mergeCell ref="I73:K73"/>
    <mergeCell ref="I74:K74"/>
    <mergeCell ref="I75:K75"/>
    <mergeCell ref="I76:K76"/>
    <mergeCell ref="B31:K32"/>
    <mergeCell ref="I14:K14"/>
    <mergeCell ref="I15:K15"/>
    <mergeCell ref="I16:K16"/>
    <mergeCell ref="I17:K17"/>
    <mergeCell ref="I18:K18"/>
    <mergeCell ref="I19:K19"/>
    <mergeCell ref="I22:L22"/>
    <mergeCell ref="I23:K23"/>
    <mergeCell ref="I24:K24"/>
    <mergeCell ref="I25:K25"/>
    <mergeCell ref="I26:K26"/>
    <mergeCell ref="I13:L13"/>
    <mergeCell ref="I3:L3"/>
    <mergeCell ref="I4:I8"/>
    <mergeCell ref="J5:J8"/>
    <mergeCell ref="I9:K9"/>
    <mergeCell ref="I10:K10"/>
  </mergeCells>
  <phoneticPr fontId="27"/>
  <pageMargins left="0.98425196850393704" right="0.43307086614173229" top="0.78740157480314965" bottom="0.59055118110236227" header="0.11811023622047245" footer="0.39370078740157483"/>
  <pageSetup paperSize="9" scale="98" firstPageNumber="22" fitToHeight="3" orientation="portrait" cellComments="asDisplayed" useFirstPageNumber="1" r:id="rId1"/>
  <headerFooter alignWithMargins="0"/>
  <rowBreaks count="2" manualBreakCount="2">
    <brk id="59" max="11" man="1"/>
    <brk id="11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BG92"/>
  <sheetViews>
    <sheetView view="pageBreakPreview" zoomScaleNormal="100" zoomScaleSheetLayoutView="100" workbookViewId="0"/>
  </sheetViews>
  <sheetFormatPr defaultRowHeight="12"/>
  <cols>
    <col min="1" max="1" width="4.109375" style="451" customWidth="1" collapsed="1"/>
    <col min="2" max="2" width="1.88671875" style="450" customWidth="1" collapsed="1"/>
    <col min="3" max="3" width="8.88671875" style="450" collapsed="1"/>
    <col min="4" max="10" width="8.88671875" style="451" collapsed="1"/>
    <col min="11" max="11" width="6" style="451" customWidth="1" collapsed="1"/>
    <col min="12" max="12" width="4.6640625" style="451" customWidth="1" collapsed="1"/>
    <col min="13" max="13" width="6.109375" style="451" hidden="1" customWidth="1" collapsed="1"/>
    <col min="14" max="20" width="0" style="451" hidden="1" customWidth="1" collapsed="1"/>
    <col min="21" max="21" width="9.77734375" style="451" hidden="1" customWidth="1" collapsed="1"/>
    <col min="22" max="22" width="0" style="451" hidden="1" customWidth="1" collapsed="1"/>
    <col min="23" max="59" width="17.109375" style="451" hidden="1" customWidth="1" collapsed="1"/>
    <col min="60" max="258" width="8.88671875" style="451" collapsed="1"/>
    <col min="259" max="259" width="4.109375" style="451" customWidth="1" collapsed="1"/>
    <col min="260" max="260" width="1.88671875" style="451" customWidth="1" collapsed="1"/>
    <col min="261" max="268" width="8.88671875" style="451" collapsed="1"/>
    <col min="269" max="269" width="6" style="451" customWidth="1" collapsed="1"/>
    <col min="270" max="270" width="4.6640625" style="451" customWidth="1" collapsed="1"/>
    <col min="271" max="271" width="6.109375" style="451" customWidth="1" collapsed="1"/>
    <col min="272" max="514" width="8.88671875" style="451" collapsed="1"/>
    <col min="515" max="515" width="4.109375" style="451" customWidth="1" collapsed="1"/>
    <col min="516" max="516" width="1.88671875" style="451" customWidth="1" collapsed="1"/>
    <col min="517" max="524" width="8.88671875" style="451" collapsed="1"/>
    <col min="525" max="525" width="6" style="451" customWidth="1" collapsed="1"/>
    <col min="526" max="526" width="4.6640625" style="451" customWidth="1" collapsed="1"/>
    <col min="527" max="527" width="6.109375" style="451" customWidth="1" collapsed="1"/>
    <col min="528" max="770" width="8.88671875" style="451" collapsed="1"/>
    <col min="771" max="771" width="4.109375" style="451" customWidth="1" collapsed="1"/>
    <col min="772" max="772" width="1.88671875" style="451" customWidth="1" collapsed="1"/>
    <col min="773" max="780" width="8.88671875" style="451" collapsed="1"/>
    <col min="781" max="781" width="6" style="451" customWidth="1" collapsed="1"/>
    <col min="782" max="782" width="4.6640625" style="451" customWidth="1" collapsed="1"/>
    <col min="783" max="783" width="6.109375" style="451" customWidth="1" collapsed="1"/>
    <col min="784" max="1026" width="8.88671875" style="451" collapsed="1"/>
    <col min="1027" max="1027" width="4.109375" style="451" customWidth="1" collapsed="1"/>
    <col min="1028" max="1028" width="1.88671875" style="451" customWidth="1" collapsed="1"/>
    <col min="1029" max="1036" width="8.88671875" style="451" collapsed="1"/>
    <col min="1037" max="1037" width="6" style="451" customWidth="1" collapsed="1"/>
    <col min="1038" max="1038" width="4.6640625" style="451" customWidth="1" collapsed="1"/>
    <col min="1039" max="1039" width="6.109375" style="451" customWidth="1" collapsed="1"/>
    <col min="1040" max="1282" width="8.88671875" style="451" collapsed="1"/>
    <col min="1283" max="1283" width="4.109375" style="451" customWidth="1" collapsed="1"/>
    <col min="1284" max="1284" width="1.88671875" style="451" customWidth="1" collapsed="1"/>
    <col min="1285" max="1292" width="8.88671875" style="451" collapsed="1"/>
    <col min="1293" max="1293" width="6" style="451" customWidth="1" collapsed="1"/>
    <col min="1294" max="1294" width="4.6640625" style="451" customWidth="1" collapsed="1"/>
    <col min="1295" max="1295" width="6.109375" style="451" customWidth="1" collapsed="1"/>
    <col min="1296" max="1538" width="8.88671875" style="451" collapsed="1"/>
    <col min="1539" max="1539" width="4.109375" style="451" customWidth="1" collapsed="1"/>
    <col min="1540" max="1540" width="1.88671875" style="451" customWidth="1" collapsed="1"/>
    <col min="1541" max="1548" width="8.88671875" style="451" collapsed="1"/>
    <col min="1549" max="1549" width="6" style="451" customWidth="1" collapsed="1"/>
    <col min="1550" max="1550" width="4.6640625" style="451" customWidth="1" collapsed="1"/>
    <col min="1551" max="1551" width="6.109375" style="451" customWidth="1" collapsed="1"/>
    <col min="1552" max="1794" width="8.88671875" style="451" collapsed="1"/>
    <col min="1795" max="1795" width="4.109375" style="451" customWidth="1" collapsed="1"/>
    <col min="1796" max="1796" width="1.88671875" style="451" customWidth="1" collapsed="1"/>
    <col min="1797" max="1804" width="8.88671875" style="451" collapsed="1"/>
    <col min="1805" max="1805" width="6" style="451" customWidth="1" collapsed="1"/>
    <col min="1806" max="1806" width="4.6640625" style="451" customWidth="1" collapsed="1"/>
    <col min="1807" max="1807" width="6.109375" style="451" customWidth="1" collapsed="1"/>
    <col min="1808" max="2050" width="8.88671875" style="451" collapsed="1"/>
    <col min="2051" max="2051" width="4.109375" style="451" customWidth="1" collapsed="1"/>
    <col min="2052" max="2052" width="1.88671875" style="451" customWidth="1" collapsed="1"/>
    <col min="2053" max="2060" width="8.88671875" style="451" collapsed="1"/>
    <col min="2061" max="2061" width="6" style="451" customWidth="1" collapsed="1"/>
    <col min="2062" max="2062" width="4.6640625" style="451" customWidth="1" collapsed="1"/>
    <col min="2063" max="2063" width="6.109375" style="451" customWidth="1" collapsed="1"/>
    <col min="2064" max="2306" width="8.88671875" style="451" collapsed="1"/>
    <col min="2307" max="2307" width="4.109375" style="451" customWidth="1" collapsed="1"/>
    <col min="2308" max="2308" width="1.88671875" style="451" customWidth="1" collapsed="1"/>
    <col min="2309" max="2316" width="8.88671875" style="451" collapsed="1"/>
    <col min="2317" max="2317" width="6" style="451" customWidth="1" collapsed="1"/>
    <col min="2318" max="2318" width="4.6640625" style="451" customWidth="1" collapsed="1"/>
    <col min="2319" max="2319" width="6.109375" style="451" customWidth="1" collapsed="1"/>
    <col min="2320" max="2562" width="8.88671875" style="451" collapsed="1"/>
    <col min="2563" max="2563" width="4.109375" style="451" customWidth="1" collapsed="1"/>
    <col min="2564" max="2564" width="1.88671875" style="451" customWidth="1" collapsed="1"/>
    <col min="2565" max="2572" width="8.88671875" style="451" collapsed="1"/>
    <col min="2573" max="2573" width="6" style="451" customWidth="1" collapsed="1"/>
    <col min="2574" max="2574" width="4.6640625" style="451" customWidth="1" collapsed="1"/>
    <col min="2575" max="2575" width="6.109375" style="451" customWidth="1" collapsed="1"/>
    <col min="2576" max="2818" width="8.88671875" style="451" collapsed="1"/>
    <col min="2819" max="2819" width="4.109375" style="451" customWidth="1" collapsed="1"/>
    <col min="2820" max="2820" width="1.88671875" style="451" customWidth="1" collapsed="1"/>
    <col min="2821" max="2828" width="8.88671875" style="451" collapsed="1"/>
    <col min="2829" max="2829" width="6" style="451" customWidth="1" collapsed="1"/>
    <col min="2830" max="2830" width="4.6640625" style="451" customWidth="1" collapsed="1"/>
    <col min="2831" max="2831" width="6.109375" style="451" customWidth="1" collapsed="1"/>
    <col min="2832" max="3074" width="8.88671875" style="451" collapsed="1"/>
    <col min="3075" max="3075" width="4.109375" style="451" customWidth="1" collapsed="1"/>
    <col min="3076" max="3076" width="1.88671875" style="451" customWidth="1" collapsed="1"/>
    <col min="3077" max="3084" width="8.88671875" style="451" collapsed="1"/>
    <col min="3085" max="3085" width="6" style="451" customWidth="1" collapsed="1"/>
    <col min="3086" max="3086" width="4.6640625" style="451" customWidth="1" collapsed="1"/>
    <col min="3087" max="3087" width="6.109375" style="451" customWidth="1" collapsed="1"/>
    <col min="3088" max="3330" width="8.88671875" style="451" collapsed="1"/>
    <col min="3331" max="3331" width="4.109375" style="451" customWidth="1" collapsed="1"/>
    <col min="3332" max="3332" width="1.88671875" style="451" customWidth="1" collapsed="1"/>
    <col min="3333" max="3340" width="8.88671875" style="451" collapsed="1"/>
    <col min="3341" max="3341" width="6" style="451" customWidth="1" collapsed="1"/>
    <col min="3342" max="3342" width="4.6640625" style="451" customWidth="1" collapsed="1"/>
    <col min="3343" max="3343" width="6.109375" style="451" customWidth="1" collapsed="1"/>
    <col min="3344" max="3586" width="8.88671875" style="451" collapsed="1"/>
    <col min="3587" max="3587" width="4.109375" style="451" customWidth="1" collapsed="1"/>
    <col min="3588" max="3588" width="1.88671875" style="451" customWidth="1" collapsed="1"/>
    <col min="3589" max="3596" width="8.88671875" style="451" collapsed="1"/>
    <col min="3597" max="3597" width="6" style="451" customWidth="1" collapsed="1"/>
    <col min="3598" max="3598" width="4.6640625" style="451" customWidth="1" collapsed="1"/>
    <col min="3599" max="3599" width="6.109375" style="451" customWidth="1" collapsed="1"/>
    <col min="3600" max="3842" width="8.88671875" style="451" collapsed="1"/>
    <col min="3843" max="3843" width="4.109375" style="451" customWidth="1" collapsed="1"/>
    <col min="3844" max="3844" width="1.88671875" style="451" customWidth="1" collapsed="1"/>
    <col min="3845" max="3852" width="8.88671875" style="451" collapsed="1"/>
    <col min="3853" max="3853" width="6" style="451" customWidth="1" collapsed="1"/>
    <col min="3854" max="3854" width="4.6640625" style="451" customWidth="1" collapsed="1"/>
    <col min="3855" max="3855" width="6.109375" style="451" customWidth="1" collapsed="1"/>
    <col min="3856" max="4098" width="8.88671875" style="451" collapsed="1"/>
    <col min="4099" max="4099" width="4.109375" style="451" customWidth="1" collapsed="1"/>
    <col min="4100" max="4100" width="1.88671875" style="451" customWidth="1" collapsed="1"/>
    <col min="4101" max="4108" width="8.88671875" style="451" collapsed="1"/>
    <col min="4109" max="4109" width="6" style="451" customWidth="1" collapsed="1"/>
    <col min="4110" max="4110" width="4.6640625" style="451" customWidth="1" collapsed="1"/>
    <col min="4111" max="4111" width="6.109375" style="451" customWidth="1" collapsed="1"/>
    <col min="4112" max="4354" width="8.88671875" style="451" collapsed="1"/>
    <col min="4355" max="4355" width="4.109375" style="451" customWidth="1" collapsed="1"/>
    <col min="4356" max="4356" width="1.88671875" style="451" customWidth="1" collapsed="1"/>
    <col min="4357" max="4364" width="8.88671875" style="451" collapsed="1"/>
    <col min="4365" max="4365" width="6" style="451" customWidth="1" collapsed="1"/>
    <col min="4366" max="4366" width="4.6640625" style="451" customWidth="1" collapsed="1"/>
    <col min="4367" max="4367" width="6.109375" style="451" customWidth="1" collapsed="1"/>
    <col min="4368" max="4610" width="8.88671875" style="451" collapsed="1"/>
    <col min="4611" max="4611" width="4.109375" style="451" customWidth="1" collapsed="1"/>
    <col min="4612" max="4612" width="1.88671875" style="451" customWidth="1" collapsed="1"/>
    <col min="4613" max="4620" width="8.88671875" style="451" collapsed="1"/>
    <col min="4621" max="4621" width="6" style="451" customWidth="1" collapsed="1"/>
    <col min="4622" max="4622" width="4.6640625" style="451" customWidth="1" collapsed="1"/>
    <col min="4623" max="4623" width="6.109375" style="451" customWidth="1" collapsed="1"/>
    <col min="4624" max="4866" width="8.88671875" style="451" collapsed="1"/>
    <col min="4867" max="4867" width="4.109375" style="451" customWidth="1" collapsed="1"/>
    <col min="4868" max="4868" width="1.88671875" style="451" customWidth="1" collapsed="1"/>
    <col min="4869" max="4876" width="8.88671875" style="451" collapsed="1"/>
    <col min="4877" max="4877" width="6" style="451" customWidth="1" collapsed="1"/>
    <col min="4878" max="4878" width="4.6640625" style="451" customWidth="1" collapsed="1"/>
    <col min="4879" max="4879" width="6.109375" style="451" customWidth="1" collapsed="1"/>
    <col min="4880" max="5122" width="8.88671875" style="451" collapsed="1"/>
    <col min="5123" max="5123" width="4.109375" style="451" customWidth="1" collapsed="1"/>
    <col min="5124" max="5124" width="1.88671875" style="451" customWidth="1" collapsed="1"/>
    <col min="5125" max="5132" width="8.88671875" style="451" collapsed="1"/>
    <col min="5133" max="5133" width="6" style="451" customWidth="1" collapsed="1"/>
    <col min="5134" max="5134" width="4.6640625" style="451" customWidth="1" collapsed="1"/>
    <col min="5135" max="5135" width="6.109375" style="451" customWidth="1" collapsed="1"/>
    <col min="5136" max="5378" width="8.88671875" style="451" collapsed="1"/>
    <col min="5379" max="5379" width="4.109375" style="451" customWidth="1" collapsed="1"/>
    <col min="5380" max="5380" width="1.88671875" style="451" customWidth="1" collapsed="1"/>
    <col min="5381" max="5388" width="8.88671875" style="451" collapsed="1"/>
    <col min="5389" max="5389" width="6" style="451" customWidth="1" collapsed="1"/>
    <col min="5390" max="5390" width="4.6640625" style="451" customWidth="1" collapsed="1"/>
    <col min="5391" max="5391" width="6.109375" style="451" customWidth="1" collapsed="1"/>
    <col min="5392" max="5634" width="8.88671875" style="451" collapsed="1"/>
    <col min="5635" max="5635" width="4.109375" style="451" customWidth="1" collapsed="1"/>
    <col min="5636" max="5636" width="1.88671875" style="451" customWidth="1" collapsed="1"/>
    <col min="5637" max="5644" width="8.88671875" style="451" collapsed="1"/>
    <col min="5645" max="5645" width="6" style="451" customWidth="1" collapsed="1"/>
    <col min="5646" max="5646" width="4.6640625" style="451" customWidth="1" collapsed="1"/>
    <col min="5647" max="5647" width="6.109375" style="451" customWidth="1" collapsed="1"/>
    <col min="5648" max="5890" width="8.88671875" style="451" collapsed="1"/>
    <col min="5891" max="5891" width="4.109375" style="451" customWidth="1" collapsed="1"/>
    <col min="5892" max="5892" width="1.88671875" style="451" customWidth="1" collapsed="1"/>
    <col min="5893" max="5900" width="8.88671875" style="451" collapsed="1"/>
    <col min="5901" max="5901" width="6" style="451" customWidth="1" collapsed="1"/>
    <col min="5902" max="5902" width="4.6640625" style="451" customWidth="1" collapsed="1"/>
    <col min="5903" max="5903" width="6.109375" style="451" customWidth="1" collapsed="1"/>
    <col min="5904" max="6146" width="8.88671875" style="451" collapsed="1"/>
    <col min="6147" max="6147" width="4.109375" style="451" customWidth="1" collapsed="1"/>
    <col min="6148" max="6148" width="1.88671875" style="451" customWidth="1" collapsed="1"/>
    <col min="6149" max="6156" width="8.88671875" style="451" collapsed="1"/>
    <col min="6157" max="6157" width="6" style="451" customWidth="1" collapsed="1"/>
    <col min="6158" max="6158" width="4.6640625" style="451" customWidth="1" collapsed="1"/>
    <col min="6159" max="6159" width="6.109375" style="451" customWidth="1" collapsed="1"/>
    <col min="6160" max="6402" width="8.88671875" style="451" collapsed="1"/>
    <col min="6403" max="6403" width="4.109375" style="451" customWidth="1" collapsed="1"/>
    <col min="6404" max="6404" width="1.88671875" style="451" customWidth="1" collapsed="1"/>
    <col min="6405" max="6412" width="8.88671875" style="451" collapsed="1"/>
    <col min="6413" max="6413" width="6" style="451" customWidth="1" collapsed="1"/>
    <col min="6414" max="6414" width="4.6640625" style="451" customWidth="1" collapsed="1"/>
    <col min="6415" max="6415" width="6.109375" style="451" customWidth="1" collapsed="1"/>
    <col min="6416" max="6658" width="8.88671875" style="451" collapsed="1"/>
    <col min="6659" max="6659" width="4.109375" style="451" customWidth="1" collapsed="1"/>
    <col min="6660" max="6660" width="1.88671875" style="451" customWidth="1" collapsed="1"/>
    <col min="6661" max="6668" width="8.88671875" style="451" collapsed="1"/>
    <col min="6669" max="6669" width="6" style="451" customWidth="1" collapsed="1"/>
    <col min="6670" max="6670" width="4.6640625" style="451" customWidth="1" collapsed="1"/>
    <col min="6671" max="6671" width="6.109375" style="451" customWidth="1" collapsed="1"/>
    <col min="6672" max="6914" width="8.88671875" style="451" collapsed="1"/>
    <col min="6915" max="6915" width="4.109375" style="451" customWidth="1" collapsed="1"/>
    <col min="6916" max="6916" width="1.88671875" style="451" customWidth="1" collapsed="1"/>
    <col min="6917" max="6924" width="8.88671875" style="451" collapsed="1"/>
    <col min="6925" max="6925" width="6" style="451" customWidth="1" collapsed="1"/>
    <col min="6926" max="6926" width="4.6640625" style="451" customWidth="1" collapsed="1"/>
    <col min="6927" max="6927" width="6.109375" style="451" customWidth="1" collapsed="1"/>
    <col min="6928" max="7170" width="8.88671875" style="451" collapsed="1"/>
    <col min="7171" max="7171" width="4.109375" style="451" customWidth="1" collapsed="1"/>
    <col min="7172" max="7172" width="1.88671875" style="451" customWidth="1" collapsed="1"/>
    <col min="7173" max="7180" width="8.88671875" style="451" collapsed="1"/>
    <col min="7181" max="7181" width="6" style="451" customWidth="1" collapsed="1"/>
    <col min="7182" max="7182" width="4.6640625" style="451" customWidth="1" collapsed="1"/>
    <col min="7183" max="7183" width="6.109375" style="451" customWidth="1" collapsed="1"/>
    <col min="7184" max="7426" width="8.88671875" style="451" collapsed="1"/>
    <col min="7427" max="7427" width="4.109375" style="451" customWidth="1" collapsed="1"/>
    <col min="7428" max="7428" width="1.88671875" style="451" customWidth="1" collapsed="1"/>
    <col min="7429" max="7436" width="8.88671875" style="451" collapsed="1"/>
    <col min="7437" max="7437" width="6" style="451" customWidth="1" collapsed="1"/>
    <col min="7438" max="7438" width="4.6640625" style="451" customWidth="1" collapsed="1"/>
    <col min="7439" max="7439" width="6.109375" style="451" customWidth="1" collapsed="1"/>
    <col min="7440" max="7682" width="8.88671875" style="451" collapsed="1"/>
    <col min="7683" max="7683" width="4.109375" style="451" customWidth="1" collapsed="1"/>
    <col min="7684" max="7684" width="1.88671875" style="451" customWidth="1" collapsed="1"/>
    <col min="7685" max="7692" width="8.88671875" style="451" collapsed="1"/>
    <col min="7693" max="7693" width="6" style="451" customWidth="1" collapsed="1"/>
    <col min="7694" max="7694" width="4.6640625" style="451" customWidth="1" collapsed="1"/>
    <col min="7695" max="7695" width="6.109375" style="451" customWidth="1" collapsed="1"/>
    <col min="7696" max="7938" width="8.88671875" style="451" collapsed="1"/>
    <col min="7939" max="7939" width="4.109375" style="451" customWidth="1" collapsed="1"/>
    <col min="7940" max="7940" width="1.88671875" style="451" customWidth="1" collapsed="1"/>
    <col min="7941" max="7948" width="8.88671875" style="451" collapsed="1"/>
    <col min="7949" max="7949" width="6" style="451" customWidth="1" collapsed="1"/>
    <col min="7950" max="7950" width="4.6640625" style="451" customWidth="1" collapsed="1"/>
    <col min="7951" max="7951" width="6.109375" style="451" customWidth="1" collapsed="1"/>
    <col min="7952" max="8194" width="8.88671875" style="451" collapsed="1"/>
    <col min="8195" max="8195" width="4.109375" style="451" customWidth="1" collapsed="1"/>
    <col min="8196" max="8196" width="1.88671875" style="451" customWidth="1" collapsed="1"/>
    <col min="8197" max="8204" width="8.88671875" style="451" collapsed="1"/>
    <col min="8205" max="8205" width="6" style="451" customWidth="1" collapsed="1"/>
    <col min="8206" max="8206" width="4.6640625" style="451" customWidth="1" collapsed="1"/>
    <col min="8207" max="8207" width="6.109375" style="451" customWidth="1" collapsed="1"/>
    <col min="8208" max="8450" width="8.88671875" style="451" collapsed="1"/>
    <col min="8451" max="8451" width="4.109375" style="451" customWidth="1" collapsed="1"/>
    <col min="8452" max="8452" width="1.88671875" style="451" customWidth="1" collapsed="1"/>
    <col min="8453" max="8460" width="8.88671875" style="451" collapsed="1"/>
    <col min="8461" max="8461" width="6" style="451" customWidth="1" collapsed="1"/>
    <col min="8462" max="8462" width="4.6640625" style="451" customWidth="1" collapsed="1"/>
    <col min="8463" max="8463" width="6.109375" style="451" customWidth="1" collapsed="1"/>
    <col min="8464" max="8706" width="8.88671875" style="451" collapsed="1"/>
    <col min="8707" max="8707" width="4.109375" style="451" customWidth="1" collapsed="1"/>
    <col min="8708" max="8708" width="1.88671875" style="451" customWidth="1" collapsed="1"/>
    <col min="8709" max="8716" width="8.88671875" style="451" collapsed="1"/>
    <col min="8717" max="8717" width="6" style="451" customWidth="1" collapsed="1"/>
    <col min="8718" max="8718" width="4.6640625" style="451" customWidth="1" collapsed="1"/>
    <col min="8719" max="8719" width="6.109375" style="451" customWidth="1" collapsed="1"/>
    <col min="8720" max="8962" width="8.88671875" style="451" collapsed="1"/>
    <col min="8963" max="8963" width="4.109375" style="451" customWidth="1" collapsed="1"/>
    <col min="8964" max="8964" width="1.88671875" style="451" customWidth="1" collapsed="1"/>
    <col min="8965" max="8972" width="8.88671875" style="451" collapsed="1"/>
    <col min="8973" max="8973" width="6" style="451" customWidth="1" collapsed="1"/>
    <col min="8974" max="8974" width="4.6640625" style="451" customWidth="1" collapsed="1"/>
    <col min="8975" max="8975" width="6.109375" style="451" customWidth="1" collapsed="1"/>
    <col min="8976" max="9218" width="8.88671875" style="451" collapsed="1"/>
    <col min="9219" max="9219" width="4.109375" style="451" customWidth="1" collapsed="1"/>
    <col min="9220" max="9220" width="1.88671875" style="451" customWidth="1" collapsed="1"/>
    <col min="9221" max="9228" width="8.88671875" style="451" collapsed="1"/>
    <col min="9229" max="9229" width="6" style="451" customWidth="1" collapsed="1"/>
    <col min="9230" max="9230" width="4.6640625" style="451" customWidth="1" collapsed="1"/>
    <col min="9231" max="9231" width="6.109375" style="451" customWidth="1" collapsed="1"/>
    <col min="9232" max="9474" width="8.88671875" style="451" collapsed="1"/>
    <col min="9475" max="9475" width="4.109375" style="451" customWidth="1" collapsed="1"/>
    <col min="9476" max="9476" width="1.88671875" style="451" customWidth="1" collapsed="1"/>
    <col min="9477" max="9484" width="8.88671875" style="451" collapsed="1"/>
    <col min="9485" max="9485" width="6" style="451" customWidth="1" collapsed="1"/>
    <col min="9486" max="9486" width="4.6640625" style="451" customWidth="1" collapsed="1"/>
    <col min="9487" max="9487" width="6.109375" style="451" customWidth="1" collapsed="1"/>
    <col min="9488" max="9730" width="8.88671875" style="451" collapsed="1"/>
    <col min="9731" max="9731" width="4.109375" style="451" customWidth="1" collapsed="1"/>
    <col min="9732" max="9732" width="1.88671875" style="451" customWidth="1" collapsed="1"/>
    <col min="9733" max="9740" width="8.88671875" style="451" collapsed="1"/>
    <col min="9741" max="9741" width="6" style="451" customWidth="1" collapsed="1"/>
    <col min="9742" max="9742" width="4.6640625" style="451" customWidth="1" collapsed="1"/>
    <col min="9743" max="9743" width="6.109375" style="451" customWidth="1" collapsed="1"/>
    <col min="9744" max="9986" width="8.88671875" style="451" collapsed="1"/>
    <col min="9987" max="9987" width="4.109375" style="451" customWidth="1" collapsed="1"/>
    <col min="9988" max="9988" width="1.88671875" style="451" customWidth="1" collapsed="1"/>
    <col min="9989" max="9996" width="8.88671875" style="451" collapsed="1"/>
    <col min="9997" max="9997" width="6" style="451" customWidth="1" collapsed="1"/>
    <col min="9998" max="9998" width="4.6640625" style="451" customWidth="1" collapsed="1"/>
    <col min="9999" max="9999" width="6.109375" style="451" customWidth="1" collapsed="1"/>
    <col min="10000" max="10242" width="8.88671875" style="451" collapsed="1"/>
    <col min="10243" max="10243" width="4.109375" style="451" customWidth="1" collapsed="1"/>
    <col min="10244" max="10244" width="1.88671875" style="451" customWidth="1" collapsed="1"/>
    <col min="10245" max="10252" width="8.88671875" style="451" collapsed="1"/>
    <col min="10253" max="10253" width="6" style="451" customWidth="1" collapsed="1"/>
    <col min="10254" max="10254" width="4.6640625" style="451" customWidth="1" collapsed="1"/>
    <col min="10255" max="10255" width="6.109375" style="451" customWidth="1" collapsed="1"/>
    <col min="10256" max="10498" width="8.88671875" style="451" collapsed="1"/>
    <col min="10499" max="10499" width="4.109375" style="451" customWidth="1" collapsed="1"/>
    <col min="10500" max="10500" width="1.88671875" style="451" customWidth="1" collapsed="1"/>
    <col min="10501" max="10508" width="8.88671875" style="451" collapsed="1"/>
    <col min="10509" max="10509" width="6" style="451" customWidth="1" collapsed="1"/>
    <col min="10510" max="10510" width="4.6640625" style="451" customWidth="1" collapsed="1"/>
    <col min="10511" max="10511" width="6.109375" style="451" customWidth="1" collapsed="1"/>
    <col min="10512" max="10754" width="8.88671875" style="451" collapsed="1"/>
    <col min="10755" max="10755" width="4.109375" style="451" customWidth="1" collapsed="1"/>
    <col min="10756" max="10756" width="1.88671875" style="451" customWidth="1" collapsed="1"/>
    <col min="10757" max="10764" width="8.88671875" style="451" collapsed="1"/>
    <col min="10765" max="10765" width="6" style="451" customWidth="1" collapsed="1"/>
    <col min="10766" max="10766" width="4.6640625" style="451" customWidth="1" collapsed="1"/>
    <col min="10767" max="10767" width="6.109375" style="451" customWidth="1" collapsed="1"/>
    <col min="10768" max="11010" width="8.88671875" style="451" collapsed="1"/>
    <col min="11011" max="11011" width="4.109375" style="451" customWidth="1" collapsed="1"/>
    <col min="11012" max="11012" width="1.88671875" style="451" customWidth="1" collapsed="1"/>
    <col min="11013" max="11020" width="8.88671875" style="451" collapsed="1"/>
    <col min="11021" max="11021" width="6" style="451" customWidth="1" collapsed="1"/>
    <col min="11022" max="11022" width="4.6640625" style="451" customWidth="1" collapsed="1"/>
    <col min="11023" max="11023" width="6.109375" style="451" customWidth="1" collapsed="1"/>
    <col min="11024" max="11266" width="8.88671875" style="451" collapsed="1"/>
    <col min="11267" max="11267" width="4.109375" style="451" customWidth="1" collapsed="1"/>
    <col min="11268" max="11268" width="1.88671875" style="451" customWidth="1" collapsed="1"/>
    <col min="11269" max="11276" width="8.88671875" style="451" collapsed="1"/>
    <col min="11277" max="11277" width="6" style="451" customWidth="1" collapsed="1"/>
    <col min="11278" max="11278" width="4.6640625" style="451" customWidth="1" collapsed="1"/>
    <col min="11279" max="11279" width="6.109375" style="451" customWidth="1" collapsed="1"/>
    <col min="11280" max="11522" width="8.88671875" style="451" collapsed="1"/>
    <col min="11523" max="11523" width="4.109375" style="451" customWidth="1" collapsed="1"/>
    <col min="11524" max="11524" width="1.88671875" style="451" customWidth="1" collapsed="1"/>
    <col min="11525" max="11532" width="8.88671875" style="451" collapsed="1"/>
    <col min="11533" max="11533" width="6" style="451" customWidth="1" collapsed="1"/>
    <col min="11534" max="11534" width="4.6640625" style="451" customWidth="1" collapsed="1"/>
    <col min="11535" max="11535" width="6.109375" style="451" customWidth="1" collapsed="1"/>
    <col min="11536" max="11778" width="8.88671875" style="451" collapsed="1"/>
    <col min="11779" max="11779" width="4.109375" style="451" customWidth="1" collapsed="1"/>
    <col min="11780" max="11780" width="1.88671875" style="451" customWidth="1" collapsed="1"/>
    <col min="11781" max="11788" width="8.88671875" style="451" collapsed="1"/>
    <col min="11789" max="11789" width="6" style="451" customWidth="1" collapsed="1"/>
    <col min="11790" max="11790" width="4.6640625" style="451" customWidth="1" collapsed="1"/>
    <col min="11791" max="11791" width="6.109375" style="451" customWidth="1" collapsed="1"/>
    <col min="11792" max="12034" width="8.88671875" style="451" collapsed="1"/>
    <col min="12035" max="12035" width="4.109375" style="451" customWidth="1" collapsed="1"/>
    <col min="12036" max="12036" width="1.88671875" style="451" customWidth="1" collapsed="1"/>
    <col min="12037" max="12044" width="8.88671875" style="451" collapsed="1"/>
    <col min="12045" max="12045" width="6" style="451" customWidth="1" collapsed="1"/>
    <col min="12046" max="12046" width="4.6640625" style="451" customWidth="1" collapsed="1"/>
    <col min="12047" max="12047" width="6.109375" style="451" customWidth="1" collapsed="1"/>
    <col min="12048" max="12290" width="8.88671875" style="451" collapsed="1"/>
    <col min="12291" max="12291" width="4.109375" style="451" customWidth="1" collapsed="1"/>
    <col min="12292" max="12292" width="1.88671875" style="451" customWidth="1" collapsed="1"/>
    <col min="12293" max="12300" width="8.88671875" style="451" collapsed="1"/>
    <col min="12301" max="12301" width="6" style="451" customWidth="1" collapsed="1"/>
    <col min="12302" max="12302" width="4.6640625" style="451" customWidth="1" collapsed="1"/>
    <col min="12303" max="12303" width="6.109375" style="451" customWidth="1" collapsed="1"/>
    <col min="12304" max="12546" width="8.88671875" style="451" collapsed="1"/>
    <col min="12547" max="12547" width="4.109375" style="451" customWidth="1" collapsed="1"/>
    <col min="12548" max="12548" width="1.88671875" style="451" customWidth="1" collapsed="1"/>
    <col min="12549" max="12556" width="8.88671875" style="451" collapsed="1"/>
    <col min="12557" max="12557" width="6" style="451" customWidth="1" collapsed="1"/>
    <col min="12558" max="12558" width="4.6640625" style="451" customWidth="1" collapsed="1"/>
    <col min="12559" max="12559" width="6.109375" style="451" customWidth="1" collapsed="1"/>
    <col min="12560" max="12802" width="8.88671875" style="451" collapsed="1"/>
    <col min="12803" max="12803" width="4.109375" style="451" customWidth="1" collapsed="1"/>
    <col min="12804" max="12804" width="1.88671875" style="451" customWidth="1" collapsed="1"/>
    <col min="12805" max="12812" width="8.88671875" style="451" collapsed="1"/>
    <col min="12813" max="12813" width="6" style="451" customWidth="1" collapsed="1"/>
    <col min="12814" max="12814" width="4.6640625" style="451" customWidth="1" collapsed="1"/>
    <col min="12815" max="12815" width="6.109375" style="451" customWidth="1" collapsed="1"/>
    <col min="12816" max="13058" width="8.88671875" style="451" collapsed="1"/>
    <col min="13059" max="13059" width="4.109375" style="451" customWidth="1" collapsed="1"/>
    <col min="13060" max="13060" width="1.88671875" style="451" customWidth="1" collapsed="1"/>
    <col min="13061" max="13068" width="8.88671875" style="451" collapsed="1"/>
    <col min="13069" max="13069" width="6" style="451" customWidth="1" collapsed="1"/>
    <col min="13070" max="13070" width="4.6640625" style="451" customWidth="1" collapsed="1"/>
    <col min="13071" max="13071" width="6.109375" style="451" customWidth="1" collapsed="1"/>
    <col min="13072" max="13314" width="8.88671875" style="451" collapsed="1"/>
    <col min="13315" max="13315" width="4.109375" style="451" customWidth="1" collapsed="1"/>
    <col min="13316" max="13316" width="1.88671875" style="451" customWidth="1" collapsed="1"/>
    <col min="13317" max="13324" width="8.88671875" style="451" collapsed="1"/>
    <col min="13325" max="13325" width="6" style="451" customWidth="1" collapsed="1"/>
    <col min="13326" max="13326" width="4.6640625" style="451" customWidth="1" collapsed="1"/>
    <col min="13327" max="13327" width="6.109375" style="451" customWidth="1" collapsed="1"/>
    <col min="13328" max="13570" width="8.88671875" style="451" collapsed="1"/>
    <col min="13571" max="13571" width="4.109375" style="451" customWidth="1" collapsed="1"/>
    <col min="13572" max="13572" width="1.88671875" style="451" customWidth="1" collapsed="1"/>
    <col min="13573" max="13580" width="8.88671875" style="451" collapsed="1"/>
    <col min="13581" max="13581" width="6" style="451" customWidth="1" collapsed="1"/>
    <col min="13582" max="13582" width="4.6640625" style="451" customWidth="1" collapsed="1"/>
    <col min="13583" max="13583" width="6.109375" style="451" customWidth="1" collapsed="1"/>
    <col min="13584" max="13826" width="8.88671875" style="451" collapsed="1"/>
    <col min="13827" max="13827" width="4.109375" style="451" customWidth="1" collapsed="1"/>
    <col min="13828" max="13828" width="1.88671875" style="451" customWidth="1" collapsed="1"/>
    <col min="13829" max="13836" width="8.88671875" style="451" collapsed="1"/>
    <col min="13837" max="13837" width="6" style="451" customWidth="1" collapsed="1"/>
    <col min="13838" max="13838" width="4.6640625" style="451" customWidth="1" collapsed="1"/>
    <col min="13839" max="13839" width="6.109375" style="451" customWidth="1" collapsed="1"/>
    <col min="13840" max="14082" width="8.88671875" style="451" collapsed="1"/>
    <col min="14083" max="14083" width="4.109375" style="451" customWidth="1" collapsed="1"/>
    <col min="14084" max="14084" width="1.88671875" style="451" customWidth="1" collapsed="1"/>
    <col min="14085" max="14092" width="8.88671875" style="451" collapsed="1"/>
    <col min="14093" max="14093" width="6" style="451" customWidth="1" collapsed="1"/>
    <col min="14094" max="14094" width="4.6640625" style="451" customWidth="1" collapsed="1"/>
    <col min="14095" max="14095" width="6.109375" style="451" customWidth="1" collapsed="1"/>
    <col min="14096" max="14338" width="8.88671875" style="451" collapsed="1"/>
    <col min="14339" max="14339" width="4.109375" style="451" customWidth="1" collapsed="1"/>
    <col min="14340" max="14340" width="1.88671875" style="451" customWidth="1" collapsed="1"/>
    <col min="14341" max="14348" width="8.88671875" style="451" collapsed="1"/>
    <col min="14349" max="14349" width="6" style="451" customWidth="1" collapsed="1"/>
    <col min="14350" max="14350" width="4.6640625" style="451" customWidth="1" collapsed="1"/>
    <col min="14351" max="14351" width="6.109375" style="451" customWidth="1" collapsed="1"/>
    <col min="14352" max="14594" width="8.88671875" style="451" collapsed="1"/>
    <col min="14595" max="14595" width="4.109375" style="451" customWidth="1" collapsed="1"/>
    <col min="14596" max="14596" width="1.88671875" style="451" customWidth="1" collapsed="1"/>
    <col min="14597" max="14604" width="8.88671875" style="451" collapsed="1"/>
    <col min="14605" max="14605" width="6" style="451" customWidth="1" collapsed="1"/>
    <col min="14606" max="14606" width="4.6640625" style="451" customWidth="1" collapsed="1"/>
    <col min="14607" max="14607" width="6.109375" style="451" customWidth="1" collapsed="1"/>
    <col min="14608" max="14850" width="8.88671875" style="451" collapsed="1"/>
    <col min="14851" max="14851" width="4.109375" style="451" customWidth="1" collapsed="1"/>
    <col min="14852" max="14852" width="1.88671875" style="451" customWidth="1" collapsed="1"/>
    <col min="14853" max="14860" width="8.88671875" style="451" collapsed="1"/>
    <col min="14861" max="14861" width="6" style="451" customWidth="1" collapsed="1"/>
    <col min="14862" max="14862" width="4.6640625" style="451" customWidth="1" collapsed="1"/>
    <col min="14863" max="14863" width="6.109375" style="451" customWidth="1" collapsed="1"/>
    <col min="14864" max="15106" width="8.88671875" style="451" collapsed="1"/>
    <col min="15107" max="15107" width="4.109375" style="451" customWidth="1" collapsed="1"/>
    <col min="15108" max="15108" width="1.88671875" style="451" customWidth="1" collapsed="1"/>
    <col min="15109" max="15116" width="8.88671875" style="451" collapsed="1"/>
    <col min="15117" max="15117" width="6" style="451" customWidth="1" collapsed="1"/>
    <col min="15118" max="15118" width="4.6640625" style="451" customWidth="1" collapsed="1"/>
    <col min="15119" max="15119" width="6.109375" style="451" customWidth="1" collapsed="1"/>
    <col min="15120" max="15362" width="8.88671875" style="451" collapsed="1"/>
    <col min="15363" max="15363" width="4.109375" style="451" customWidth="1" collapsed="1"/>
    <col min="15364" max="15364" width="1.88671875" style="451" customWidth="1" collapsed="1"/>
    <col min="15365" max="15372" width="8.88671875" style="451" collapsed="1"/>
    <col min="15373" max="15373" width="6" style="451" customWidth="1" collapsed="1"/>
    <col min="15374" max="15374" width="4.6640625" style="451" customWidth="1" collapsed="1"/>
    <col min="15375" max="15375" width="6.109375" style="451" customWidth="1" collapsed="1"/>
    <col min="15376" max="15618" width="8.88671875" style="451" collapsed="1"/>
    <col min="15619" max="15619" width="4.109375" style="451" customWidth="1" collapsed="1"/>
    <col min="15620" max="15620" width="1.88671875" style="451" customWidth="1" collapsed="1"/>
    <col min="15621" max="15628" width="8.88671875" style="451" collapsed="1"/>
    <col min="15629" max="15629" width="6" style="451" customWidth="1" collapsed="1"/>
    <col min="15630" max="15630" width="4.6640625" style="451" customWidth="1" collapsed="1"/>
    <col min="15631" max="15631" width="6.109375" style="451" customWidth="1" collapsed="1"/>
    <col min="15632" max="15874" width="8.88671875" style="451" collapsed="1"/>
    <col min="15875" max="15875" width="4.109375" style="451" customWidth="1" collapsed="1"/>
    <col min="15876" max="15876" width="1.88671875" style="451" customWidth="1" collapsed="1"/>
    <col min="15877" max="15884" width="8.88671875" style="451" collapsed="1"/>
    <col min="15885" max="15885" width="6" style="451" customWidth="1" collapsed="1"/>
    <col min="15886" max="15886" width="4.6640625" style="451" customWidth="1" collapsed="1"/>
    <col min="15887" max="15887" width="6.109375" style="451" customWidth="1" collapsed="1"/>
    <col min="15888" max="16130" width="8.88671875" style="451" collapsed="1"/>
    <col min="16131" max="16131" width="4.109375" style="451" customWidth="1" collapsed="1"/>
    <col min="16132" max="16132" width="1.88671875" style="451" customWidth="1" collapsed="1"/>
    <col min="16133" max="16140" width="8.88671875" style="451" collapsed="1"/>
    <col min="16141" max="16141" width="6" style="451" customWidth="1" collapsed="1"/>
    <col min="16142" max="16142" width="4.6640625" style="451" customWidth="1" collapsed="1"/>
    <col min="16143" max="16143" width="6.109375" style="451" customWidth="1" collapsed="1"/>
    <col min="16144" max="16384" width="8.88671875" style="451" collapsed="1"/>
  </cols>
  <sheetData>
    <row r="1" spans="1:45" ht="27" customHeight="1">
      <c r="A1" s="927" t="s">
        <v>430</v>
      </c>
      <c r="J1" s="452"/>
    </row>
    <row r="2" spans="1:45" ht="18.75" customHeight="1">
      <c r="B2" s="452"/>
      <c r="C2" s="453" t="s">
        <v>102</v>
      </c>
      <c r="J2" s="452"/>
    </row>
    <row r="3" spans="1:45" s="456" customFormat="1" ht="6" customHeight="1">
      <c r="B3" s="454"/>
      <c r="C3" s="455"/>
      <c r="J3" s="457"/>
      <c r="W3" s="1844" t="s">
        <v>1098</v>
      </c>
      <c r="X3" s="1844" t="s">
        <v>1099</v>
      </c>
      <c r="Y3" s="1844" t="s">
        <v>1100</v>
      </c>
      <c r="Z3" s="1844" t="s">
        <v>1101</v>
      </c>
      <c r="AA3" s="1844" t="s">
        <v>1102</v>
      </c>
      <c r="AB3" s="1844" t="s">
        <v>1103</v>
      </c>
      <c r="AC3" s="1844" t="s">
        <v>1104</v>
      </c>
      <c r="AD3" s="1844" t="s">
        <v>1105</v>
      </c>
      <c r="AE3" s="1844" t="s">
        <v>1106</v>
      </c>
      <c r="AF3" s="1844" t="s">
        <v>1107</v>
      </c>
      <c r="AG3" s="1844" t="s">
        <v>1108</v>
      </c>
      <c r="AH3" s="1844" t="s">
        <v>1109</v>
      </c>
      <c r="AI3" s="1844" t="s">
        <v>1110</v>
      </c>
      <c r="AJ3" s="1844" t="s">
        <v>1111</v>
      </c>
      <c r="AK3" s="1844" t="s">
        <v>1112</v>
      </c>
      <c r="AL3" s="1844" t="s">
        <v>1113</v>
      </c>
      <c r="AM3" s="1844" t="s">
        <v>1114</v>
      </c>
      <c r="AN3" s="1844" t="s">
        <v>1115</v>
      </c>
      <c r="AO3" s="1844" t="s">
        <v>1116</v>
      </c>
      <c r="AP3" s="1844" t="s">
        <v>1117</v>
      </c>
      <c r="AQ3" s="1844" t="s">
        <v>1118</v>
      </c>
      <c r="AR3" s="1844" t="s">
        <v>1119</v>
      </c>
      <c r="AS3" s="1844" t="s">
        <v>1120</v>
      </c>
    </row>
    <row r="4" spans="1:45" ht="23.25" customHeight="1">
      <c r="J4" s="452"/>
      <c r="W4" s="1844"/>
      <c r="X4" s="1844"/>
      <c r="Y4" s="1845"/>
      <c r="Z4" s="1845"/>
      <c r="AA4" s="1845"/>
      <c r="AB4" s="1845"/>
      <c r="AC4" s="1845"/>
      <c r="AD4" s="1845"/>
      <c r="AE4" s="1845"/>
      <c r="AF4" s="1845"/>
      <c r="AG4" s="1845"/>
      <c r="AH4" s="1845"/>
      <c r="AI4" s="1845"/>
      <c r="AJ4" s="1845"/>
      <c r="AK4" s="1845"/>
      <c r="AL4" s="1845"/>
      <c r="AM4" s="1845"/>
      <c r="AN4" s="1845"/>
      <c r="AO4" s="1845"/>
      <c r="AP4" s="1845"/>
      <c r="AQ4" s="1845"/>
      <c r="AR4" s="1845"/>
      <c r="AS4" s="1845"/>
    </row>
    <row r="5" spans="1:45" ht="20.399999999999999" customHeight="1">
      <c r="J5" s="452"/>
      <c r="W5" s="1844"/>
      <c r="X5" s="1844"/>
      <c r="Y5" s="1845"/>
      <c r="Z5" s="1845"/>
      <c r="AA5" s="1845"/>
      <c r="AB5" s="1845"/>
      <c r="AC5" s="1845"/>
      <c r="AD5" s="1845"/>
      <c r="AE5" s="1845"/>
      <c r="AF5" s="1845"/>
      <c r="AG5" s="1845"/>
      <c r="AH5" s="1845"/>
      <c r="AI5" s="1845"/>
      <c r="AJ5" s="1845"/>
      <c r="AK5" s="1845"/>
      <c r="AL5" s="1845"/>
      <c r="AM5" s="1845"/>
      <c r="AN5" s="1845"/>
      <c r="AO5" s="1845"/>
      <c r="AP5" s="1845"/>
      <c r="AQ5" s="1845"/>
      <c r="AR5" s="1845"/>
      <c r="AS5" s="1845"/>
    </row>
    <row r="6" spans="1:45" ht="20.399999999999999" customHeight="1">
      <c r="J6" s="452"/>
      <c r="M6" s="458" t="s">
        <v>399</v>
      </c>
      <c r="N6" s="459" t="s">
        <v>400</v>
      </c>
      <c r="W6" s="1844"/>
      <c r="X6" s="1844"/>
      <c r="Y6" s="1845"/>
      <c r="Z6" s="1845"/>
      <c r="AA6" s="1845"/>
      <c r="AB6" s="1845"/>
      <c r="AC6" s="1845"/>
      <c r="AD6" s="1845"/>
      <c r="AE6" s="1845"/>
      <c r="AF6" s="1845"/>
      <c r="AG6" s="1845"/>
      <c r="AH6" s="1845"/>
      <c r="AI6" s="1845"/>
      <c r="AJ6" s="1845"/>
      <c r="AK6" s="1845"/>
      <c r="AL6" s="1845"/>
      <c r="AM6" s="1845"/>
      <c r="AN6" s="1845"/>
      <c r="AO6" s="1845"/>
      <c r="AP6" s="1845"/>
      <c r="AQ6" s="1845"/>
      <c r="AR6" s="1845"/>
      <c r="AS6" s="1845"/>
    </row>
    <row r="7" spans="1:45" ht="20.399999999999999" customHeight="1">
      <c r="J7" s="452"/>
      <c r="M7" s="458"/>
      <c r="N7" s="1289" t="s">
        <v>696</v>
      </c>
      <c r="O7" s="1289" t="s">
        <v>697</v>
      </c>
      <c r="P7" s="1289" t="s">
        <v>714</v>
      </c>
      <c r="Q7" s="1290" t="s">
        <v>715</v>
      </c>
      <c r="R7" s="1290" t="s">
        <v>718</v>
      </c>
      <c r="S7" s="1290" t="s">
        <v>716</v>
      </c>
      <c r="T7" s="1289" t="s">
        <v>713</v>
      </c>
      <c r="U7" s="1289" t="s">
        <v>401</v>
      </c>
      <c r="W7" s="1601" t="s">
        <v>695</v>
      </c>
      <c r="X7" s="1601" t="s">
        <v>696</v>
      </c>
      <c r="Y7" s="1601" t="s">
        <v>697</v>
      </c>
      <c r="Z7" s="1601" t="s">
        <v>698</v>
      </c>
      <c r="AA7" s="1601" t="s">
        <v>700</v>
      </c>
      <c r="AB7" s="1601" t="s">
        <v>699</v>
      </c>
      <c r="AC7" s="1601" t="s">
        <v>701</v>
      </c>
      <c r="AD7" s="1601" t="s">
        <v>625</v>
      </c>
      <c r="AE7" s="1601" t="s">
        <v>702</v>
      </c>
      <c r="AF7" s="1601" t="s">
        <v>703</v>
      </c>
      <c r="AG7" s="1601" t="s">
        <v>704</v>
      </c>
      <c r="AH7" s="1601" t="s">
        <v>705</v>
      </c>
      <c r="AI7" s="1601" t="s">
        <v>706</v>
      </c>
      <c r="AJ7" s="1601" t="s">
        <v>707</v>
      </c>
      <c r="AK7" s="1601" t="s">
        <v>708</v>
      </c>
      <c r="AL7" s="1601" t="s">
        <v>629</v>
      </c>
      <c r="AM7" s="1601" t="s">
        <v>709</v>
      </c>
      <c r="AN7" s="1601" t="s">
        <v>710</v>
      </c>
      <c r="AO7" s="1601" t="s">
        <v>631</v>
      </c>
      <c r="AP7" s="1601" t="s">
        <v>632</v>
      </c>
      <c r="AQ7" s="1601" t="s">
        <v>711</v>
      </c>
      <c r="AR7" s="1601" t="s">
        <v>712</v>
      </c>
      <c r="AS7" s="1601" t="s">
        <v>713</v>
      </c>
    </row>
    <row r="8" spans="1:45" ht="20.399999999999999" customHeight="1">
      <c r="J8" s="452"/>
      <c r="M8" s="460" t="s">
        <v>15</v>
      </c>
      <c r="N8" s="461" t="s">
        <v>402</v>
      </c>
      <c r="O8" s="461" t="s">
        <v>270</v>
      </c>
      <c r="P8" s="1291" t="s">
        <v>403</v>
      </c>
      <c r="Q8" s="461" t="s">
        <v>361</v>
      </c>
      <c r="R8" s="461" t="s">
        <v>273</v>
      </c>
      <c r="S8" s="461" t="s">
        <v>404</v>
      </c>
      <c r="T8" s="1294" t="s">
        <v>360</v>
      </c>
      <c r="U8" s="461" t="s">
        <v>405</v>
      </c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</row>
    <row r="9" spans="1:45" ht="20.399999999999999" customHeight="1">
      <c r="J9" s="452"/>
      <c r="M9" s="460">
        <f>情報!B6</f>
        <v>29</v>
      </c>
      <c r="N9" s="1287">
        <f t="shared" ref="N9:N11" si="0">ROUND(X9/W9*100,1)</f>
        <v>22.6</v>
      </c>
      <c r="O9" s="1287">
        <f t="shared" ref="O9:O11" si="1">ROUND(Y9/W9*100,1)</f>
        <v>19.7</v>
      </c>
      <c r="P9" s="1287">
        <f t="shared" ref="P9:P11" si="2">ROUND(Z9/W9*100,1)</f>
        <v>0.8</v>
      </c>
      <c r="Q9" s="1287">
        <f t="shared" ref="Q9:Q11" si="3">ROUND(SUM(AA9:AI9)/W9*100,1)</f>
        <v>5.3</v>
      </c>
      <c r="R9" s="1287">
        <f>ROUND(SUM(AJ9:AP9)/W9*100,1)</f>
        <v>9.6999999999999993</v>
      </c>
      <c r="S9" s="1287">
        <f>ROUND(SUM(AQ9:AR9)/W9*100,1)</f>
        <v>23.9</v>
      </c>
      <c r="T9" s="1287">
        <f>ROUND(AS9/W9*100,1)</f>
        <v>15.3</v>
      </c>
      <c r="U9" s="1287">
        <f t="shared" ref="U9:U11" si="4">ROUND(100-SUM(N9:T9),1)</f>
        <v>2.7</v>
      </c>
      <c r="W9" s="1630">
        <v>1086305533400</v>
      </c>
      <c r="X9" s="1630">
        <v>245293427921</v>
      </c>
      <c r="Y9" s="1630">
        <v>214485224687</v>
      </c>
      <c r="Z9" s="1630">
        <v>8737156519</v>
      </c>
      <c r="AA9" s="1630">
        <v>6814660966</v>
      </c>
      <c r="AB9" s="1630">
        <v>43448788000</v>
      </c>
      <c r="AC9" s="1630">
        <v>3329375000</v>
      </c>
      <c r="AD9" s="1630">
        <v>2383925796</v>
      </c>
      <c r="AE9" s="1630">
        <v>1328657000</v>
      </c>
      <c r="AF9" s="1630">
        <v>0</v>
      </c>
      <c r="AG9" s="1630">
        <v>0</v>
      </c>
      <c r="AH9" s="1630">
        <v>0</v>
      </c>
      <c r="AI9" s="1630">
        <v>0</v>
      </c>
      <c r="AJ9" s="1630">
        <v>42091408582</v>
      </c>
      <c r="AK9" s="1630">
        <v>27227986350</v>
      </c>
      <c r="AL9" s="1630">
        <v>17182969269</v>
      </c>
      <c r="AM9" s="1630">
        <v>0</v>
      </c>
      <c r="AN9" s="1630">
        <v>15684923284</v>
      </c>
      <c r="AO9" s="1630">
        <v>3154693160</v>
      </c>
      <c r="AP9" s="1630">
        <v>0</v>
      </c>
      <c r="AQ9" s="1630">
        <v>27604386786</v>
      </c>
      <c r="AR9" s="1630">
        <v>231528639463</v>
      </c>
      <c r="AS9" s="1630">
        <v>166593740588</v>
      </c>
    </row>
    <row r="10" spans="1:45" ht="20.399999999999999" customHeight="1">
      <c r="J10" s="452"/>
      <c r="M10" s="460">
        <f>情報!B5</f>
        <v>30</v>
      </c>
      <c r="N10" s="1287">
        <f t="shared" si="0"/>
        <v>25.7</v>
      </c>
      <c r="O10" s="1287">
        <f t="shared" si="1"/>
        <v>0</v>
      </c>
      <c r="P10" s="1287">
        <f t="shared" si="2"/>
        <v>0</v>
      </c>
      <c r="Q10" s="1287">
        <f t="shared" si="3"/>
        <v>60.1</v>
      </c>
      <c r="R10" s="1287">
        <f>ROUND(SUM(AJ10:AP10)/W10*100,1)</f>
        <v>10.5</v>
      </c>
      <c r="S10" s="1287">
        <f>ROUND(SUM(AQ10:AR10)/W10*100,1)</f>
        <v>0</v>
      </c>
      <c r="T10" s="1287">
        <f>ROUND(AS10/W10*100,1)</f>
        <v>0</v>
      </c>
      <c r="U10" s="1287">
        <f t="shared" si="4"/>
        <v>3.7</v>
      </c>
      <c r="W10" s="1630">
        <v>948904295328</v>
      </c>
      <c r="X10" s="1630">
        <v>244063335829</v>
      </c>
      <c r="Y10" s="1630">
        <v>24316000</v>
      </c>
      <c r="Z10" s="1630">
        <v>0</v>
      </c>
      <c r="AA10" s="1630">
        <v>0</v>
      </c>
      <c r="AB10" s="1630">
        <v>0</v>
      </c>
      <c r="AC10" s="1630">
        <v>0</v>
      </c>
      <c r="AD10" s="1630">
        <v>18479000</v>
      </c>
      <c r="AE10" s="1630">
        <v>0</v>
      </c>
      <c r="AF10" s="1630">
        <v>0</v>
      </c>
      <c r="AG10" s="1630">
        <v>560694560418</v>
      </c>
      <c r="AH10" s="1630">
        <v>9841964000</v>
      </c>
      <c r="AI10" s="1630">
        <v>0</v>
      </c>
      <c r="AJ10" s="1630">
        <v>35234955773</v>
      </c>
      <c r="AK10" s="1630">
        <v>27593002030</v>
      </c>
      <c r="AL10" s="1630">
        <v>17429806984</v>
      </c>
      <c r="AM10" s="1630">
        <v>0</v>
      </c>
      <c r="AN10" s="1630">
        <v>16407559892</v>
      </c>
      <c r="AO10" s="1630">
        <v>2772629111</v>
      </c>
      <c r="AP10" s="1630">
        <v>0</v>
      </c>
      <c r="AQ10" s="1630">
        <v>0</v>
      </c>
      <c r="AR10" s="1630">
        <v>0</v>
      </c>
      <c r="AS10" s="1630">
        <v>0</v>
      </c>
    </row>
    <row r="11" spans="1:45" ht="20.399999999999999" customHeight="1">
      <c r="J11" s="452"/>
      <c r="M11" s="460" t="str">
        <f>情報!B4</f>
        <v>元</v>
      </c>
      <c r="N11" s="1287">
        <f t="shared" si="0"/>
        <v>26.1</v>
      </c>
      <c r="O11" s="1287">
        <f t="shared" si="1"/>
        <v>0</v>
      </c>
      <c r="P11" s="1287">
        <f t="shared" si="2"/>
        <v>0</v>
      </c>
      <c r="Q11" s="1287">
        <f t="shared" si="3"/>
        <v>61.7</v>
      </c>
      <c r="R11" s="1287">
        <f>ROUND(SUM(AJ11:AP11)/W11*100,1)</f>
        <v>10.4</v>
      </c>
      <c r="S11" s="1287">
        <f>ROUND(SUM(AQ11:AR11)/W11*100,1)</f>
        <v>0</v>
      </c>
      <c r="T11" s="1287">
        <f>ROUND(AS11/W11*100,1)</f>
        <v>0</v>
      </c>
      <c r="U11" s="1287">
        <f t="shared" si="4"/>
        <v>1.8</v>
      </c>
      <c r="W11" s="1630">
        <v>916380892255</v>
      </c>
      <c r="X11" s="1630">
        <v>239384516443</v>
      </c>
      <c r="Y11" s="1630">
        <v>198911000</v>
      </c>
      <c r="Z11" s="1630">
        <v>0</v>
      </c>
      <c r="AA11" s="1630">
        <v>0</v>
      </c>
      <c r="AB11" s="1630">
        <v>0</v>
      </c>
      <c r="AC11" s="1630">
        <v>0</v>
      </c>
      <c r="AD11" s="1630">
        <v>0</v>
      </c>
      <c r="AE11" s="1630">
        <v>0</v>
      </c>
      <c r="AF11" s="1630">
        <v>0</v>
      </c>
      <c r="AG11" s="1630">
        <v>554636224289</v>
      </c>
      <c r="AH11" s="1630">
        <v>10398006000</v>
      </c>
      <c r="AI11" s="1630">
        <v>0</v>
      </c>
      <c r="AJ11" s="1630">
        <v>30357358327</v>
      </c>
      <c r="AK11" s="1630">
        <v>27956394910</v>
      </c>
      <c r="AL11" s="1630">
        <v>17452938730</v>
      </c>
      <c r="AM11" s="1630">
        <v>0</v>
      </c>
      <c r="AN11" s="1630">
        <v>17479521607</v>
      </c>
      <c r="AO11" s="1630">
        <v>2504507486</v>
      </c>
      <c r="AP11" s="1630">
        <v>0</v>
      </c>
      <c r="AQ11" s="1630">
        <v>0</v>
      </c>
      <c r="AR11" s="1630">
        <v>0</v>
      </c>
      <c r="AS11" s="1630">
        <v>0</v>
      </c>
    </row>
    <row r="12" spans="1:45" ht="20.399999999999999" customHeight="1">
      <c r="J12" s="452"/>
      <c r="M12" s="460">
        <f>情報!B3</f>
        <v>2</v>
      </c>
      <c r="N12" s="1287">
        <f>ROUND(X12/W12*100,1)</f>
        <v>25.8</v>
      </c>
      <c r="O12" s="1287">
        <f>ROUND(Y12/W12*100,1)</f>
        <v>1</v>
      </c>
      <c r="P12" s="1287">
        <f>ROUND(Z12/W12*100,1)</f>
        <v>0</v>
      </c>
      <c r="Q12" s="1287">
        <f>ROUND(SUM(AA12:AI12)/W12*100,1)</f>
        <v>61.5</v>
      </c>
      <c r="R12" s="1287">
        <f>ROUND(SUM(AJ12:AP12)/W12*100,1)</f>
        <v>9.8000000000000007</v>
      </c>
      <c r="S12" s="1287">
        <f>ROUND(SUM(AQ12:AR12)/W12*100,1)</f>
        <v>0</v>
      </c>
      <c r="T12" s="1287">
        <f>ROUND(AS12/W12*100,1)</f>
        <v>0</v>
      </c>
      <c r="U12" s="1287">
        <f>ROUND(100-SUM(N12:T12),1)</f>
        <v>1.9</v>
      </c>
      <c r="W12" s="1630">
        <v>886939617779</v>
      </c>
      <c r="X12" s="1630">
        <v>228601521005</v>
      </c>
      <c r="Y12" s="1630">
        <v>8680608000</v>
      </c>
      <c r="Z12" s="1630">
        <v>0</v>
      </c>
      <c r="AA12" s="1630">
        <v>0</v>
      </c>
      <c r="AB12" s="1630">
        <v>0</v>
      </c>
      <c r="AC12" s="1630">
        <v>0</v>
      </c>
      <c r="AD12" s="1630">
        <v>0</v>
      </c>
      <c r="AE12" s="1630">
        <v>0</v>
      </c>
      <c r="AF12" s="1630">
        <v>0</v>
      </c>
      <c r="AG12" s="1630">
        <v>527904370528</v>
      </c>
      <c r="AH12" s="1630">
        <v>17872236000</v>
      </c>
      <c r="AI12" s="1630">
        <v>0</v>
      </c>
      <c r="AJ12" s="1630">
        <v>23031735101</v>
      </c>
      <c r="AK12" s="1630">
        <v>27337042230</v>
      </c>
      <c r="AL12" s="1630">
        <v>17210203489</v>
      </c>
      <c r="AM12" s="1630">
        <v>0</v>
      </c>
      <c r="AN12" s="1630">
        <v>17549930363</v>
      </c>
      <c r="AO12" s="1630">
        <v>2100684745</v>
      </c>
      <c r="AP12" s="1630">
        <v>0</v>
      </c>
      <c r="AQ12" s="1630">
        <v>0</v>
      </c>
      <c r="AR12" s="1630">
        <v>0</v>
      </c>
      <c r="AS12" s="1630">
        <v>0</v>
      </c>
    </row>
    <row r="13" spans="1:45" ht="20.399999999999999" customHeight="1">
      <c r="J13" s="452"/>
      <c r="M13" s="460">
        <f>情報!B2</f>
        <v>3</v>
      </c>
      <c r="N13" s="1287">
        <f>ROUND(X13/W13*100,1)</f>
        <v>25.2</v>
      </c>
      <c r="O13" s="1287">
        <f>ROUND(Y13/W13*100,1)</f>
        <v>0.3</v>
      </c>
      <c r="P13" s="1287">
        <f>ROUND(Z13/W13*100,1)</f>
        <v>0</v>
      </c>
      <c r="Q13" s="1287">
        <f>ROUND(SUM(AA13:AI13)/W13*100,1)</f>
        <v>63.3</v>
      </c>
      <c r="R13" s="1287">
        <f>ROUND(SUM(AJ13:AP13)/W13*100,1)</f>
        <v>8.9</v>
      </c>
      <c r="S13" s="1287">
        <f>ROUND(SUM(AQ13:AR13)/W13*100,1)</f>
        <v>0</v>
      </c>
      <c r="T13" s="1287">
        <f>ROUND(AS13/W13*100,1)</f>
        <v>0</v>
      </c>
      <c r="U13" s="1287">
        <f>ROUND(100-SUM(N13:T13),1)</f>
        <v>2.2999999999999998</v>
      </c>
      <c r="W13" s="1630">
        <v>915031499205</v>
      </c>
      <c r="X13" s="1630">
        <v>230324958911</v>
      </c>
      <c r="Y13" s="1630">
        <v>2514804500</v>
      </c>
      <c r="Z13" s="1630">
        <v>0</v>
      </c>
      <c r="AA13" s="1630">
        <v>0</v>
      </c>
      <c r="AB13" s="1630">
        <v>0</v>
      </c>
      <c r="AC13" s="1630">
        <v>0</v>
      </c>
      <c r="AD13" s="1630">
        <v>0</v>
      </c>
      <c r="AE13" s="1630">
        <v>0</v>
      </c>
      <c r="AF13" s="1630">
        <v>0</v>
      </c>
      <c r="AG13" s="1630">
        <v>565409255921</v>
      </c>
      <c r="AH13" s="1630">
        <v>13462549000</v>
      </c>
      <c r="AI13" s="1630">
        <v>0</v>
      </c>
      <c r="AJ13" s="1630">
        <v>17214043661</v>
      </c>
      <c r="AK13" s="1630">
        <v>27561455380</v>
      </c>
      <c r="AL13" s="1630">
        <v>17286914261</v>
      </c>
      <c r="AM13" s="1630">
        <v>0</v>
      </c>
      <c r="AN13" s="1630">
        <v>17338101450</v>
      </c>
      <c r="AO13" s="1630">
        <v>1993182965</v>
      </c>
      <c r="AP13" s="1630">
        <v>0</v>
      </c>
      <c r="AQ13" s="1630">
        <v>0</v>
      </c>
      <c r="AR13" s="1630">
        <v>0</v>
      </c>
      <c r="AS13" s="1630">
        <v>0</v>
      </c>
    </row>
    <row r="14" spans="1:45" ht="20.399999999999999" customHeight="1">
      <c r="J14" s="452"/>
      <c r="M14" s="460" t="s">
        <v>16</v>
      </c>
      <c r="N14" s="462" t="s">
        <v>402</v>
      </c>
      <c r="O14" s="462" t="s">
        <v>270</v>
      </c>
      <c r="P14" s="1293" t="s">
        <v>403</v>
      </c>
      <c r="Q14" s="462" t="s">
        <v>361</v>
      </c>
      <c r="R14" s="462" t="s">
        <v>273</v>
      </c>
      <c r="S14" s="462" t="s">
        <v>404</v>
      </c>
      <c r="T14" s="1294" t="s">
        <v>360</v>
      </c>
      <c r="U14" s="462" t="s">
        <v>405</v>
      </c>
      <c r="W14" s="1598"/>
      <c r="X14" s="1598"/>
      <c r="Y14" s="1598"/>
      <c r="Z14" s="1598"/>
      <c r="AA14" s="1598"/>
      <c r="AB14" s="1598"/>
      <c r="AC14" s="1598"/>
      <c r="AD14" s="1598"/>
      <c r="AE14" s="1598"/>
      <c r="AF14" s="1598"/>
      <c r="AG14" s="1598"/>
      <c r="AH14" s="1598"/>
      <c r="AI14" s="1598"/>
      <c r="AJ14" s="1598"/>
      <c r="AK14" s="1598"/>
      <c r="AL14" s="1598"/>
      <c r="AM14" s="1598"/>
      <c r="AN14" s="1598"/>
      <c r="AO14" s="1598"/>
      <c r="AP14" s="1598"/>
      <c r="AQ14" s="1598"/>
      <c r="AR14" s="1598"/>
      <c r="AS14" s="1598"/>
    </row>
    <row r="15" spans="1:45" ht="20.399999999999999" customHeight="1">
      <c r="J15" s="452"/>
      <c r="M15" s="460">
        <f>M9</f>
        <v>29</v>
      </c>
      <c r="N15" s="1287">
        <f t="shared" ref="N15:N19" si="5">ROUND(X15/W15*100,1)</f>
        <v>17.5</v>
      </c>
      <c r="O15" s="1287">
        <f t="shared" ref="O15:O19" si="6">ROUND(Y15/W15*100,1)</f>
        <v>19.3</v>
      </c>
      <c r="P15" s="1287">
        <f t="shared" ref="P15:P19" si="7">ROUND(Z15/W15*100,1)</f>
        <v>0.9</v>
      </c>
      <c r="Q15" s="1287">
        <f t="shared" ref="Q15:Q25" si="8">ROUND(SUM(AA15:AI15)/W15*100,1)</f>
        <v>5.9</v>
      </c>
      <c r="R15" s="1287">
        <f>ROUND(SUM(AJ15:AP15)/W15*100,1)</f>
        <v>10.5</v>
      </c>
      <c r="S15" s="1287">
        <f>ROUND(SUM(AQ15:AR15)/W15*100,1)</f>
        <v>22</v>
      </c>
      <c r="T15" s="1287">
        <f>ROUND(AS15/W15*100,1)</f>
        <v>21.9</v>
      </c>
      <c r="U15" s="1287">
        <f t="shared" ref="U15:U25" si="9">ROUND(100-SUM(N15:T15),1)</f>
        <v>2</v>
      </c>
      <c r="W15" s="1630">
        <v>488540919040</v>
      </c>
      <c r="X15" s="1630">
        <v>85554427106</v>
      </c>
      <c r="Y15" s="1630">
        <v>94345580298</v>
      </c>
      <c r="Z15" s="1630">
        <v>4374013066</v>
      </c>
      <c r="AA15" s="1630">
        <v>2673090736</v>
      </c>
      <c r="AB15" s="1630">
        <v>18861404000</v>
      </c>
      <c r="AC15" s="1630">
        <v>3365579000</v>
      </c>
      <c r="AD15" s="1630">
        <v>3284771230</v>
      </c>
      <c r="AE15" s="1630">
        <v>799534000</v>
      </c>
      <c r="AF15" s="1630">
        <v>0</v>
      </c>
      <c r="AG15" s="1630">
        <v>0</v>
      </c>
      <c r="AH15" s="1630">
        <v>0</v>
      </c>
      <c r="AI15" s="1630">
        <v>0</v>
      </c>
      <c r="AJ15" s="1630">
        <v>30463133458</v>
      </c>
      <c r="AK15" s="1630">
        <v>9099677725</v>
      </c>
      <c r="AL15" s="1630">
        <v>5834227584</v>
      </c>
      <c r="AM15" s="1630">
        <v>0</v>
      </c>
      <c r="AN15" s="1630">
        <v>4711043704</v>
      </c>
      <c r="AO15" s="1630">
        <v>1019207942</v>
      </c>
      <c r="AP15" s="1630">
        <v>92033575</v>
      </c>
      <c r="AQ15" s="1630">
        <v>10691703145</v>
      </c>
      <c r="AR15" s="1630">
        <v>96548401115</v>
      </c>
      <c r="AS15" s="1630">
        <v>106928774572</v>
      </c>
    </row>
    <row r="16" spans="1:45" ht="20.399999999999999" customHeight="1">
      <c r="J16" s="452"/>
      <c r="M16" s="460">
        <f>M10</f>
        <v>30</v>
      </c>
      <c r="N16" s="1287">
        <f t="shared" si="5"/>
        <v>19.899999999999999</v>
      </c>
      <c r="O16" s="1287">
        <f t="shared" si="6"/>
        <v>0</v>
      </c>
      <c r="P16" s="1287">
        <f t="shared" si="7"/>
        <v>0</v>
      </c>
      <c r="Q16" s="1287">
        <f t="shared" si="8"/>
        <v>65.099999999999994</v>
      </c>
      <c r="R16" s="1287">
        <f>ROUND(SUM(AJ16:AP16)/W16*100,1)</f>
        <v>11.8</v>
      </c>
      <c r="S16" s="1287">
        <f>ROUND(SUM(AQ16:AR16)/W16*100,1)</f>
        <v>0</v>
      </c>
      <c r="T16" s="1287">
        <f>ROUND(AS16/W16*100,1)</f>
        <v>0</v>
      </c>
      <c r="U16" s="1287">
        <f t="shared" si="9"/>
        <v>3.2</v>
      </c>
      <c r="W16" s="1630">
        <v>426147388681</v>
      </c>
      <c r="X16" s="1630">
        <v>84993458013</v>
      </c>
      <c r="Y16" s="1630">
        <v>12620000</v>
      </c>
      <c r="Z16" s="1630">
        <v>0</v>
      </c>
      <c r="AA16" s="1630">
        <v>0</v>
      </c>
      <c r="AB16" s="1630">
        <v>0</v>
      </c>
      <c r="AC16" s="1630">
        <v>0</v>
      </c>
      <c r="AD16" s="1630">
        <v>2056300133</v>
      </c>
      <c r="AE16" s="1630">
        <v>0</v>
      </c>
      <c r="AF16" s="1630">
        <v>0</v>
      </c>
      <c r="AG16" s="1630">
        <v>268568862160</v>
      </c>
      <c r="AH16" s="1630">
        <v>6597836000</v>
      </c>
      <c r="AI16" s="1630">
        <v>0</v>
      </c>
      <c r="AJ16" s="1630">
        <v>29335816028</v>
      </c>
      <c r="AK16" s="1630">
        <v>9178396546</v>
      </c>
      <c r="AL16" s="1630">
        <v>5924112653</v>
      </c>
      <c r="AM16" s="1630">
        <v>0</v>
      </c>
      <c r="AN16" s="1630">
        <v>4755957237</v>
      </c>
      <c r="AO16" s="1630">
        <v>956394978</v>
      </c>
      <c r="AP16" s="1630">
        <v>268808493</v>
      </c>
      <c r="AQ16" s="1630">
        <v>0</v>
      </c>
      <c r="AR16" s="1630">
        <v>0</v>
      </c>
      <c r="AS16" s="1630">
        <v>0</v>
      </c>
    </row>
    <row r="17" spans="1:45" ht="20.399999999999999" customHeight="1">
      <c r="J17" s="452"/>
      <c r="M17" s="460" t="str">
        <f>M11</f>
        <v>元</v>
      </c>
      <c r="N17" s="1287">
        <f t="shared" si="5"/>
        <v>20</v>
      </c>
      <c r="O17" s="1287">
        <f t="shared" si="6"/>
        <v>0</v>
      </c>
      <c r="P17" s="1287">
        <f t="shared" si="7"/>
        <v>0</v>
      </c>
      <c r="Q17" s="1287">
        <f t="shared" si="8"/>
        <v>66.3</v>
      </c>
      <c r="R17" s="1287">
        <f>ROUND(SUM(AJ17:AP17)/W17*100,1)</f>
        <v>11.7</v>
      </c>
      <c r="S17" s="1287">
        <f>ROUND(SUM(AQ17:AR17)/W17*100,1)</f>
        <v>0</v>
      </c>
      <c r="T17" s="1287">
        <f>ROUND(AS17/W17*100,1)</f>
        <v>0</v>
      </c>
      <c r="U17" s="1287">
        <f t="shared" si="9"/>
        <v>2</v>
      </c>
      <c r="W17" s="1630">
        <v>414557399187</v>
      </c>
      <c r="X17" s="1630">
        <v>83092711929</v>
      </c>
      <c r="Y17" s="1630">
        <v>91876000</v>
      </c>
      <c r="Z17" s="1630">
        <v>0</v>
      </c>
      <c r="AA17" s="1630">
        <v>0</v>
      </c>
      <c r="AB17" s="1630">
        <v>0</v>
      </c>
      <c r="AC17" s="1630">
        <v>0</v>
      </c>
      <c r="AD17" s="1630">
        <v>2056867831</v>
      </c>
      <c r="AE17" s="1630">
        <v>0</v>
      </c>
      <c r="AF17" s="1630">
        <v>0</v>
      </c>
      <c r="AG17" s="1630">
        <v>266494677506</v>
      </c>
      <c r="AH17" s="1630">
        <v>6504271000</v>
      </c>
      <c r="AI17" s="1630">
        <v>0</v>
      </c>
      <c r="AJ17" s="1630">
        <v>27178384923</v>
      </c>
      <c r="AK17" s="1630">
        <v>9217527197</v>
      </c>
      <c r="AL17" s="1630">
        <v>5956426807</v>
      </c>
      <c r="AM17" s="1630">
        <v>0</v>
      </c>
      <c r="AN17" s="1630">
        <v>5102494486</v>
      </c>
      <c r="AO17" s="1630">
        <v>867241493</v>
      </c>
      <c r="AP17" s="1630">
        <v>282674330</v>
      </c>
      <c r="AQ17" s="1630">
        <v>0</v>
      </c>
      <c r="AR17" s="1630">
        <v>0</v>
      </c>
      <c r="AS17" s="1630">
        <v>0</v>
      </c>
    </row>
    <row r="18" spans="1:45" ht="20.399999999999999" customHeight="1">
      <c r="J18" s="452"/>
      <c r="M18" s="460">
        <f>M12</f>
        <v>2</v>
      </c>
      <c r="N18" s="1287">
        <f t="shared" si="5"/>
        <v>20.7</v>
      </c>
      <c r="O18" s="1287">
        <f t="shared" si="6"/>
        <v>0.3</v>
      </c>
      <c r="P18" s="1287">
        <f t="shared" si="7"/>
        <v>0</v>
      </c>
      <c r="Q18" s="1287">
        <f t="shared" si="8"/>
        <v>65.7</v>
      </c>
      <c r="R18" s="1287">
        <f>ROUND(SUM(AJ18:AP18)/W18*100,1)</f>
        <v>11.5</v>
      </c>
      <c r="S18" s="1287">
        <f>ROUND(SUM(AQ18:AR18)/W18*100,1)</f>
        <v>0</v>
      </c>
      <c r="T18" s="1287">
        <f>ROUND(AS18/W18*100,1)</f>
        <v>0</v>
      </c>
      <c r="U18" s="1287">
        <f t="shared" si="9"/>
        <v>1.8</v>
      </c>
      <c r="W18" s="1630">
        <v>401846858347</v>
      </c>
      <c r="X18" s="1630">
        <v>83274555949</v>
      </c>
      <c r="Y18" s="1630">
        <v>1300796000</v>
      </c>
      <c r="Z18" s="1630">
        <v>0</v>
      </c>
      <c r="AA18" s="1630">
        <v>0</v>
      </c>
      <c r="AB18" s="1630">
        <v>0</v>
      </c>
      <c r="AC18" s="1630">
        <v>0</v>
      </c>
      <c r="AD18" s="1630">
        <v>2057531221</v>
      </c>
      <c r="AE18" s="1630">
        <v>0</v>
      </c>
      <c r="AF18" s="1630">
        <v>0</v>
      </c>
      <c r="AG18" s="1630">
        <v>255231999161</v>
      </c>
      <c r="AH18" s="1630">
        <v>6792733000</v>
      </c>
      <c r="AI18" s="1630">
        <v>0</v>
      </c>
      <c r="AJ18" s="1630">
        <v>24781866066</v>
      </c>
      <c r="AK18" s="1630">
        <v>9373562793</v>
      </c>
      <c r="AL18" s="1630">
        <v>6054942925</v>
      </c>
      <c r="AM18" s="1630">
        <v>0</v>
      </c>
      <c r="AN18" s="1630">
        <v>4929510636</v>
      </c>
      <c r="AO18" s="1630">
        <v>768328136</v>
      </c>
      <c r="AP18" s="1630">
        <v>301817368</v>
      </c>
      <c r="AQ18" s="1630">
        <v>0</v>
      </c>
      <c r="AR18" s="1630">
        <v>0</v>
      </c>
      <c r="AS18" s="1630">
        <v>0</v>
      </c>
    </row>
    <row r="19" spans="1:45" ht="20.399999999999999" customHeight="1">
      <c r="J19" s="452"/>
      <c r="M19" s="460">
        <f>M13</f>
        <v>3</v>
      </c>
      <c r="N19" s="1287">
        <f t="shared" si="5"/>
        <v>20</v>
      </c>
      <c r="O19" s="1287">
        <f t="shared" si="6"/>
        <v>0.1</v>
      </c>
      <c r="P19" s="1287">
        <f t="shared" si="7"/>
        <v>0</v>
      </c>
      <c r="Q19" s="1287">
        <f t="shared" si="8"/>
        <v>66.8</v>
      </c>
      <c r="R19" s="1287">
        <f>ROUND(SUM(AJ19:AP19)/W19*100,1)</f>
        <v>11</v>
      </c>
      <c r="S19" s="1287">
        <f>ROUND(SUM(AQ19:AR19)/W19*100,1)</f>
        <v>0</v>
      </c>
      <c r="T19" s="1287">
        <f>ROUND(AS19/W19*100,1)</f>
        <v>0</v>
      </c>
      <c r="U19" s="1287">
        <f t="shared" si="9"/>
        <v>2.1</v>
      </c>
      <c r="V19" s="463"/>
      <c r="W19" s="1630">
        <v>417626146194</v>
      </c>
      <c r="X19" s="1630">
        <v>83553051362</v>
      </c>
      <c r="Y19" s="1630">
        <v>366222000</v>
      </c>
      <c r="Z19" s="1630">
        <v>0</v>
      </c>
      <c r="AA19" s="1630">
        <v>0</v>
      </c>
      <c r="AB19" s="1630">
        <v>0</v>
      </c>
      <c r="AC19" s="1630">
        <v>0</v>
      </c>
      <c r="AD19" s="1630">
        <v>2059850047</v>
      </c>
      <c r="AE19" s="1630">
        <v>0</v>
      </c>
      <c r="AF19" s="1630">
        <v>0</v>
      </c>
      <c r="AG19" s="1630">
        <v>270590839450</v>
      </c>
      <c r="AH19" s="1630">
        <v>6473121000</v>
      </c>
      <c r="AI19" s="1630">
        <v>0</v>
      </c>
      <c r="AJ19" s="1630">
        <v>24172155928</v>
      </c>
      <c r="AK19" s="1630">
        <v>9680006592</v>
      </c>
      <c r="AL19" s="1630">
        <v>6148020365</v>
      </c>
      <c r="AM19" s="1630">
        <v>0</v>
      </c>
      <c r="AN19" s="1630">
        <v>5100003424</v>
      </c>
      <c r="AO19" s="1630">
        <v>730480188</v>
      </c>
      <c r="AP19" s="1630">
        <v>284732962</v>
      </c>
      <c r="AQ19" s="1630">
        <v>0</v>
      </c>
      <c r="AR19" s="1630">
        <v>0</v>
      </c>
      <c r="AS19" s="1630">
        <v>0</v>
      </c>
    </row>
    <row r="20" spans="1:45" ht="20.399999999999999" customHeight="1">
      <c r="J20" s="452"/>
      <c r="M20" s="460" t="s">
        <v>164</v>
      </c>
      <c r="N20" s="462" t="s">
        <v>402</v>
      </c>
      <c r="O20" s="462" t="s">
        <v>270</v>
      </c>
      <c r="P20" s="462" t="s">
        <v>406</v>
      </c>
      <c r="Q20" s="462" t="s">
        <v>361</v>
      </c>
      <c r="R20" s="462" t="s">
        <v>273</v>
      </c>
      <c r="S20" s="462" t="s">
        <v>404</v>
      </c>
      <c r="T20" s="1294" t="s">
        <v>360</v>
      </c>
      <c r="U20" s="462" t="s">
        <v>405</v>
      </c>
      <c r="W20" s="1598"/>
      <c r="X20" s="1598"/>
      <c r="Y20" s="1598"/>
      <c r="Z20" s="1598"/>
      <c r="AA20" s="1598"/>
      <c r="AB20" s="1598"/>
      <c r="AC20" s="1598"/>
      <c r="AD20" s="1598"/>
      <c r="AE20" s="1598"/>
      <c r="AF20" s="1598"/>
      <c r="AG20" s="1598"/>
      <c r="AH20" s="1598"/>
      <c r="AI20" s="1598"/>
      <c r="AJ20" s="1598"/>
      <c r="AK20" s="1598"/>
      <c r="AL20" s="1598"/>
      <c r="AM20" s="1598"/>
      <c r="AN20" s="1598"/>
      <c r="AO20" s="1598"/>
      <c r="AP20" s="1598"/>
      <c r="AQ20" s="1598"/>
      <c r="AR20" s="1598"/>
      <c r="AS20" s="1598"/>
    </row>
    <row r="21" spans="1:45" ht="20.399999999999999" customHeight="1">
      <c r="J21" s="452"/>
      <c r="M21" s="460">
        <f>M9</f>
        <v>29</v>
      </c>
      <c r="N21" s="1287">
        <f t="shared" ref="N21:N25" si="10">ROUND(X21/W21*100,1)</f>
        <v>60.2</v>
      </c>
      <c r="O21" s="1287">
        <f t="shared" ref="O21:O25" si="11">ROUND(Y21/W21*100,1)</f>
        <v>27.3</v>
      </c>
      <c r="P21" s="464"/>
      <c r="Q21" s="1287">
        <f t="shared" si="8"/>
        <v>1.1000000000000001</v>
      </c>
      <c r="R21" s="464"/>
      <c r="S21" s="1287">
        <f>ROUND(SUM(AQ21:AR21)/W21*100,1)</f>
        <v>1.1000000000000001</v>
      </c>
      <c r="T21" s="1287">
        <f>ROUND(AS21/W21*100,1)</f>
        <v>0.4</v>
      </c>
      <c r="U21" s="1287">
        <f t="shared" si="9"/>
        <v>9.9</v>
      </c>
      <c r="W21" s="1630">
        <v>445367048533</v>
      </c>
      <c r="X21" s="1630">
        <v>267896593049</v>
      </c>
      <c r="Y21" s="1630">
        <v>121683903764</v>
      </c>
      <c r="Z21" s="1631" t="s">
        <v>717</v>
      </c>
      <c r="AA21" s="1630">
        <v>0</v>
      </c>
      <c r="AB21" s="1630">
        <v>0</v>
      </c>
      <c r="AC21" s="1630">
        <v>0</v>
      </c>
      <c r="AD21" s="1630">
        <v>4806842374</v>
      </c>
      <c r="AE21" s="1630">
        <v>106727000</v>
      </c>
      <c r="AF21" s="1630">
        <v>0</v>
      </c>
      <c r="AG21" s="1630">
        <v>0</v>
      </c>
      <c r="AH21" s="1630">
        <v>0</v>
      </c>
      <c r="AI21" s="1630">
        <v>0</v>
      </c>
      <c r="AJ21" s="1631" t="s">
        <v>717</v>
      </c>
      <c r="AK21" s="1631" t="s">
        <v>717</v>
      </c>
      <c r="AL21" s="1631" t="s">
        <v>717</v>
      </c>
      <c r="AM21" s="1631" t="s">
        <v>717</v>
      </c>
      <c r="AN21" s="1631" t="s">
        <v>717</v>
      </c>
      <c r="AO21" s="1631" t="s">
        <v>717</v>
      </c>
      <c r="AP21" s="1631" t="s">
        <v>717</v>
      </c>
      <c r="AQ21" s="1630">
        <v>5118249000</v>
      </c>
      <c r="AR21" s="1630">
        <v>0</v>
      </c>
      <c r="AS21" s="1630">
        <v>1614057989</v>
      </c>
    </row>
    <row r="22" spans="1:45" ht="20.399999999999999" customHeight="1">
      <c r="J22" s="452"/>
      <c r="M22" s="460">
        <f>M10</f>
        <v>30</v>
      </c>
      <c r="N22" s="1287">
        <f t="shared" si="10"/>
        <v>60.2</v>
      </c>
      <c r="O22" s="1287">
        <f t="shared" si="11"/>
        <v>26.2</v>
      </c>
      <c r="P22" s="464"/>
      <c r="Q22" s="1287">
        <f t="shared" si="8"/>
        <v>1</v>
      </c>
      <c r="R22" s="464"/>
      <c r="S22" s="1287">
        <f>ROUND(SUM(AQ22:AR22)/W22*100,1)</f>
        <v>1.1000000000000001</v>
      </c>
      <c r="T22" s="1287">
        <f>ROUND(AS22/W22*100,1)</f>
        <v>0.3</v>
      </c>
      <c r="U22" s="1287">
        <f t="shared" si="9"/>
        <v>11.2</v>
      </c>
      <c r="W22" s="1630">
        <v>455948488522</v>
      </c>
      <c r="X22" s="1630">
        <v>274416768883</v>
      </c>
      <c r="Y22" s="1630">
        <v>119274028615</v>
      </c>
      <c r="Z22" s="1631" t="s">
        <v>717</v>
      </c>
      <c r="AA22" s="1630">
        <v>0</v>
      </c>
      <c r="AB22" s="1630">
        <v>0</v>
      </c>
      <c r="AC22" s="1630">
        <v>0</v>
      </c>
      <c r="AD22" s="1630">
        <v>4517147199</v>
      </c>
      <c r="AE22" s="1630">
        <v>109396000</v>
      </c>
      <c r="AF22" s="1630">
        <v>0</v>
      </c>
      <c r="AG22" s="1630">
        <v>0</v>
      </c>
      <c r="AH22" s="1630">
        <v>0</v>
      </c>
      <c r="AI22" s="1630">
        <v>0</v>
      </c>
      <c r="AJ22" s="1631" t="s">
        <v>717</v>
      </c>
      <c r="AK22" s="1631" t="s">
        <v>717</v>
      </c>
      <c r="AL22" s="1631" t="s">
        <v>717</v>
      </c>
      <c r="AM22" s="1631" t="s">
        <v>717</v>
      </c>
      <c r="AN22" s="1631" t="s">
        <v>717</v>
      </c>
      <c r="AO22" s="1631" t="s">
        <v>717</v>
      </c>
      <c r="AP22" s="1631" t="s">
        <v>717</v>
      </c>
      <c r="AQ22" s="1630">
        <v>5195980000</v>
      </c>
      <c r="AR22" s="1630">
        <v>0</v>
      </c>
      <c r="AS22" s="1630">
        <v>1385628612</v>
      </c>
    </row>
    <row r="23" spans="1:45" ht="20.399999999999999" customHeight="1">
      <c r="J23" s="452"/>
      <c r="M23" s="460" t="str">
        <f>M11</f>
        <v>元</v>
      </c>
      <c r="N23" s="1287">
        <f t="shared" si="10"/>
        <v>59.8</v>
      </c>
      <c r="O23" s="1287">
        <f t="shared" si="11"/>
        <v>26</v>
      </c>
      <c r="P23" s="464"/>
      <c r="Q23" s="1287">
        <f t="shared" si="8"/>
        <v>1</v>
      </c>
      <c r="R23" s="464"/>
      <c r="S23" s="1287">
        <f>ROUND(SUM(AQ23:AR23)/W23*100,1)</f>
        <v>1.1000000000000001</v>
      </c>
      <c r="T23" s="1287">
        <f>ROUND(AS23/W23*100,1)</f>
        <v>0.3</v>
      </c>
      <c r="U23" s="1287">
        <f t="shared" si="9"/>
        <v>11.8</v>
      </c>
      <c r="W23" s="1630">
        <v>466670906846</v>
      </c>
      <c r="X23" s="1630">
        <v>278968588107</v>
      </c>
      <c r="Y23" s="1630">
        <v>121243414828</v>
      </c>
      <c r="Z23" s="1631" t="s">
        <v>717</v>
      </c>
      <c r="AA23" s="1630">
        <v>0</v>
      </c>
      <c r="AB23" s="1630">
        <v>0</v>
      </c>
      <c r="AC23" s="1630">
        <v>0</v>
      </c>
      <c r="AD23" s="1630">
        <v>4454194719</v>
      </c>
      <c r="AE23" s="1630">
        <v>103948000</v>
      </c>
      <c r="AF23" s="1630">
        <v>0</v>
      </c>
      <c r="AG23" s="1630">
        <v>0</v>
      </c>
      <c r="AH23" s="1630">
        <v>0</v>
      </c>
      <c r="AI23" s="1630">
        <v>0</v>
      </c>
      <c r="AJ23" s="1631" t="s">
        <v>717</v>
      </c>
      <c r="AK23" s="1631" t="s">
        <v>717</v>
      </c>
      <c r="AL23" s="1631" t="s">
        <v>717</v>
      </c>
      <c r="AM23" s="1631" t="s">
        <v>717</v>
      </c>
      <c r="AN23" s="1631" t="s">
        <v>717</v>
      </c>
      <c r="AO23" s="1631" t="s">
        <v>717</v>
      </c>
      <c r="AP23" s="1631" t="s">
        <v>717</v>
      </c>
      <c r="AQ23" s="1630">
        <v>5346167000</v>
      </c>
      <c r="AR23" s="1630">
        <v>0</v>
      </c>
      <c r="AS23" s="1630">
        <v>1226565777</v>
      </c>
    </row>
    <row r="24" spans="1:45" ht="20.399999999999999" customHeight="1">
      <c r="J24" s="452"/>
      <c r="M24" s="460">
        <f>M12</f>
        <v>2</v>
      </c>
      <c r="N24" s="1287">
        <f t="shared" si="10"/>
        <v>61.5</v>
      </c>
      <c r="O24" s="1287">
        <f t="shared" si="11"/>
        <v>25</v>
      </c>
      <c r="P24" s="464"/>
      <c r="Q24" s="1287">
        <f t="shared" si="8"/>
        <v>1</v>
      </c>
      <c r="R24" s="464"/>
      <c r="S24" s="1287">
        <f>ROUND(SUM(AQ24:AR24)/W24*100,1)</f>
        <v>1.2</v>
      </c>
      <c r="T24" s="1287">
        <f>ROUND(AS24/W24*100,1)</f>
        <v>0.3</v>
      </c>
      <c r="U24" s="1287">
        <f t="shared" si="9"/>
        <v>11</v>
      </c>
      <c r="W24" s="1630">
        <v>461063559349</v>
      </c>
      <c r="X24" s="1630">
        <v>283697717541</v>
      </c>
      <c r="Y24" s="1630">
        <v>115102985156</v>
      </c>
      <c r="Z24" s="1631" t="s">
        <v>717</v>
      </c>
      <c r="AA24" s="1630">
        <v>0</v>
      </c>
      <c r="AB24" s="1630">
        <v>0</v>
      </c>
      <c r="AC24" s="1630">
        <v>0</v>
      </c>
      <c r="AD24" s="1630">
        <v>4313043291</v>
      </c>
      <c r="AE24" s="1630">
        <v>108336000</v>
      </c>
      <c r="AF24" s="1630">
        <v>0</v>
      </c>
      <c r="AG24" s="1630">
        <v>0</v>
      </c>
      <c r="AH24" s="1630">
        <v>0</v>
      </c>
      <c r="AI24" s="1630">
        <v>0</v>
      </c>
      <c r="AJ24" s="1631" t="s">
        <v>717</v>
      </c>
      <c r="AK24" s="1631" t="s">
        <v>717</v>
      </c>
      <c r="AL24" s="1631" t="s">
        <v>717</v>
      </c>
      <c r="AM24" s="1631" t="s">
        <v>717</v>
      </c>
      <c r="AN24" s="1631" t="s">
        <v>717</v>
      </c>
      <c r="AO24" s="1631" t="s">
        <v>717</v>
      </c>
      <c r="AP24" s="1631" t="s">
        <v>717</v>
      </c>
      <c r="AQ24" s="1630">
        <v>5622088000</v>
      </c>
      <c r="AR24" s="1630">
        <v>0</v>
      </c>
      <c r="AS24" s="1630">
        <v>1295015649</v>
      </c>
    </row>
    <row r="25" spans="1:45" ht="20.399999999999999" customHeight="1">
      <c r="M25" s="460">
        <f>M13</f>
        <v>3</v>
      </c>
      <c r="N25" s="1287">
        <f t="shared" si="10"/>
        <v>61.9</v>
      </c>
      <c r="O25" s="1287">
        <f t="shared" si="11"/>
        <v>24.3</v>
      </c>
      <c r="P25" s="464"/>
      <c r="Q25" s="1287">
        <f t="shared" si="8"/>
        <v>1</v>
      </c>
      <c r="R25" s="464"/>
      <c r="S25" s="1287">
        <f>ROUND(SUM(AQ25:AR25)/W25*100,1)</f>
        <v>1.3</v>
      </c>
      <c r="T25" s="1287">
        <f>ROUND(AS25/W25*100,1)</f>
        <v>0.3</v>
      </c>
      <c r="U25" s="1287">
        <f t="shared" si="9"/>
        <v>11.2</v>
      </c>
      <c r="W25" s="1630">
        <v>467399514799</v>
      </c>
      <c r="X25" s="1630">
        <v>289536917172</v>
      </c>
      <c r="Y25" s="1630">
        <v>113608893037</v>
      </c>
      <c r="Z25" s="1631" t="s">
        <v>717</v>
      </c>
      <c r="AA25" s="1630">
        <v>0</v>
      </c>
      <c r="AB25" s="1630">
        <v>0</v>
      </c>
      <c r="AC25" s="1630">
        <v>0</v>
      </c>
      <c r="AD25" s="1630">
        <v>4369585644</v>
      </c>
      <c r="AE25" s="1630">
        <v>100404000</v>
      </c>
      <c r="AF25" s="1630">
        <v>0</v>
      </c>
      <c r="AG25" s="1630">
        <v>0</v>
      </c>
      <c r="AH25" s="1630">
        <v>0</v>
      </c>
      <c r="AI25" s="1630">
        <v>0</v>
      </c>
      <c r="AJ25" s="1631" t="s">
        <v>717</v>
      </c>
      <c r="AK25" s="1631" t="s">
        <v>717</v>
      </c>
      <c r="AL25" s="1631" t="s">
        <v>717</v>
      </c>
      <c r="AM25" s="1631" t="s">
        <v>717</v>
      </c>
      <c r="AN25" s="1631" t="s">
        <v>717</v>
      </c>
      <c r="AO25" s="1631" t="s">
        <v>717</v>
      </c>
      <c r="AP25" s="1631" t="s">
        <v>717</v>
      </c>
      <c r="AQ25" s="1630">
        <v>5867700000</v>
      </c>
      <c r="AR25" s="1630">
        <v>0</v>
      </c>
      <c r="AS25" s="1630">
        <v>1351887787</v>
      </c>
    </row>
    <row r="26" spans="1:45" ht="20.399999999999999" customHeight="1">
      <c r="A26" s="244"/>
      <c r="U26" s="463"/>
    </row>
    <row r="27" spans="1:45" ht="20.399999999999999" customHeight="1">
      <c r="A27" s="244"/>
      <c r="M27" s="451" t="s">
        <v>235</v>
      </c>
    </row>
    <row r="28" spans="1:45" ht="20.399999999999999" customHeight="1">
      <c r="M28" s="451" t="s">
        <v>138</v>
      </c>
      <c r="N28" s="264" t="s">
        <v>242</v>
      </c>
      <c r="O28" s="465" t="str">
        <f>"{"&amp;""""&amp;M9&amp;""""&amp;","&amp;""""&amp;M10&amp;""""&amp;","&amp;""""&amp;M11&amp;""""&amp;","&amp;""""&amp;M12&amp;""""&amp;","&amp;""""&amp;M13&amp;""""&amp;"}"</f>
        <v>{"29","30","元","2","3"}</v>
      </c>
    </row>
    <row r="29" spans="1:45" ht="20.399999999999999" customHeight="1">
      <c r="N29" s="264" t="str">
        <f>N8</f>
        <v>保険料</v>
      </c>
      <c r="O29" s="264" t="str">
        <f t="shared" ref="O29:U29" si="12">O8</f>
        <v>国庫支出金</v>
      </c>
      <c r="P29" s="264" t="str">
        <f t="shared" si="12"/>
        <v>療養給付費交付金</v>
      </c>
      <c r="Q29" s="264" t="str">
        <f t="shared" si="12"/>
        <v>都支出金</v>
      </c>
      <c r="R29" s="264" t="str">
        <f t="shared" si="12"/>
        <v>一般会計繰入金</v>
      </c>
      <c r="S29" s="264" t="str">
        <f t="shared" si="12"/>
        <v>共同事業交付金</v>
      </c>
      <c r="T29" s="264" t="str">
        <f t="shared" si="12"/>
        <v>前期高齢者交付金</v>
      </c>
      <c r="U29" s="264" t="str">
        <f t="shared" si="12"/>
        <v>その他収入</v>
      </c>
    </row>
    <row r="30" spans="1:45" ht="20.399999999999999" customHeight="1">
      <c r="N30" s="465" t="str">
        <f>"{"&amp;N9&amp;","&amp;N10&amp;","&amp;N11&amp;","&amp;N12&amp;","&amp;N13&amp;"}"</f>
        <v>{22.6,25.7,26.1,25.8,25.2}</v>
      </c>
      <c r="O30" s="465" t="str">
        <f t="shared" ref="O30:U30" si="13">"{"&amp;O9&amp;","&amp;O10&amp;","&amp;O11&amp;","&amp;O12&amp;","&amp;O13&amp;"}"</f>
        <v>{19.7,0,0,1,0.3}</v>
      </c>
      <c r="P30" s="465" t="str">
        <f t="shared" si="13"/>
        <v>{0.8,0,0,0,0}</v>
      </c>
      <c r="Q30" s="465" t="str">
        <f t="shared" si="13"/>
        <v>{5.3,60.1,61.7,61.5,63.3}</v>
      </c>
      <c r="R30" s="465" t="str">
        <f t="shared" si="13"/>
        <v>{9.7,10.5,10.4,9.8,8.9}</v>
      </c>
      <c r="S30" s="465" t="str">
        <f t="shared" si="13"/>
        <v>{23.9,0,0,0,0}</v>
      </c>
      <c r="T30" s="465" t="str">
        <f t="shared" si="13"/>
        <v>{15.3,0,0,0,0}</v>
      </c>
      <c r="U30" s="465" t="str">
        <f t="shared" si="13"/>
        <v>{2.7,3.7,1.8,1.9,2.3}</v>
      </c>
    </row>
    <row r="31" spans="1:45" ht="20.399999999999999" customHeight="1">
      <c r="M31" s="451" t="s">
        <v>139</v>
      </c>
      <c r="N31" s="264" t="s">
        <v>242</v>
      </c>
      <c r="O31" s="465" t="str">
        <f>"{"&amp;""""&amp;M15&amp;""""&amp;","&amp;""""&amp;M16&amp;""""&amp;","&amp;""""&amp;M17&amp;""""&amp;","&amp;""""&amp;M18&amp;""""&amp;","&amp;""""&amp;M19&amp;""""&amp;"}"</f>
        <v>{"29","30","元","2","3"}</v>
      </c>
    </row>
    <row r="32" spans="1:45" ht="20.399999999999999" customHeight="1">
      <c r="J32" s="466"/>
      <c r="N32" s="264" t="str">
        <f t="shared" ref="N32:U32" si="14">N14</f>
        <v>保険料</v>
      </c>
      <c r="O32" s="264" t="str">
        <f t="shared" si="14"/>
        <v>国庫支出金</v>
      </c>
      <c r="P32" s="264" t="str">
        <f t="shared" si="14"/>
        <v>療養給付費交付金</v>
      </c>
      <c r="Q32" s="264" t="str">
        <f t="shared" si="14"/>
        <v>都支出金</v>
      </c>
      <c r="R32" s="264" t="str">
        <f t="shared" si="14"/>
        <v>一般会計繰入金</v>
      </c>
      <c r="S32" s="264" t="str">
        <f t="shared" si="14"/>
        <v>共同事業交付金</v>
      </c>
      <c r="T32" s="264" t="str">
        <f t="shared" si="14"/>
        <v>前期高齢者交付金</v>
      </c>
      <c r="U32" s="264" t="str">
        <f t="shared" si="14"/>
        <v>その他収入</v>
      </c>
    </row>
    <row r="33" spans="1:21" ht="20.399999999999999" customHeight="1">
      <c r="B33" s="467"/>
      <c r="N33" s="465" t="str">
        <f>"{"&amp;N15&amp;","&amp;N16&amp;","&amp;N17&amp;","&amp;N18&amp;","&amp;N19&amp;"}"</f>
        <v>{17.5,19.9,20,20.7,20}</v>
      </c>
      <c r="O33" s="465" t="str">
        <f t="shared" ref="O33:U33" si="15">"{"&amp;O15&amp;","&amp;O16&amp;","&amp;O17&amp;","&amp;O18&amp;","&amp;O19&amp;"}"</f>
        <v>{19.3,0,0,0.3,0.1}</v>
      </c>
      <c r="P33" s="465" t="str">
        <f t="shared" si="15"/>
        <v>{0.9,0,0,0,0}</v>
      </c>
      <c r="Q33" s="465" t="str">
        <f t="shared" si="15"/>
        <v>{5.9,65.1,66.3,65.7,66.8}</v>
      </c>
      <c r="R33" s="465" t="str">
        <f t="shared" si="15"/>
        <v>{10.5,11.8,11.7,11.5,11}</v>
      </c>
      <c r="S33" s="465" t="str">
        <f t="shared" si="15"/>
        <v>{22,0,0,0,0}</v>
      </c>
      <c r="T33" s="465" t="str">
        <f t="shared" si="15"/>
        <v>{21.9,0,0,0,0}</v>
      </c>
      <c r="U33" s="465" t="str">
        <f t="shared" si="15"/>
        <v>{2,3.2,2,1.8,2.1}</v>
      </c>
    </row>
    <row r="34" spans="1:21" ht="20.399999999999999" customHeight="1">
      <c r="M34" s="451" t="s">
        <v>155</v>
      </c>
      <c r="N34" s="264" t="s">
        <v>242</v>
      </c>
      <c r="O34" s="465" t="str">
        <f>"{"&amp;""""&amp;M21&amp;""""&amp;","&amp;""""&amp;M22&amp;""""&amp;","&amp;""""&amp;M23&amp;""""&amp;","&amp;""""&amp;M24&amp;""""&amp;","&amp;""""&amp;M25&amp;""""&amp;"}"</f>
        <v>{"29","30","元","2","3"}</v>
      </c>
    </row>
    <row r="35" spans="1:21" ht="20.399999999999999" customHeight="1">
      <c r="N35" s="264" t="str">
        <f>N20</f>
        <v>保険料</v>
      </c>
      <c r="O35" s="264" t="str">
        <f>O20</f>
        <v>国庫支出金</v>
      </c>
      <c r="P35" s="264" t="str">
        <f>Q20</f>
        <v>都支出金</v>
      </c>
      <c r="Q35" s="264" t="str">
        <f>S20</f>
        <v>共同事業交付金</v>
      </c>
      <c r="R35" s="264" t="str">
        <f>T20</f>
        <v>前期高齢者交付金</v>
      </c>
      <c r="S35" s="264" t="str">
        <f>U20</f>
        <v>その他収入</v>
      </c>
    </row>
    <row r="36" spans="1:21" ht="20.399999999999999" customHeight="1">
      <c r="N36" s="465" t="str">
        <f>"{"&amp;N21&amp;","&amp;N22&amp;","&amp;N23&amp;","&amp;N24&amp;","&amp;N25&amp;"}"</f>
        <v>{60.2,60.2,59.8,61.5,61.9}</v>
      </c>
      <c r="O36" s="465" t="str">
        <f>"{"&amp;O21&amp;","&amp;O22&amp;","&amp;O23&amp;","&amp;O24&amp;","&amp;O25&amp;"}"</f>
        <v>{27.3,26.2,26,25,24.3}</v>
      </c>
      <c r="P36" s="465" t="str">
        <f>"{"&amp;Q21&amp;","&amp;Q22&amp;","&amp;Q23&amp;","&amp;Q24&amp;","&amp;Q25&amp;"}"</f>
        <v>{1.1,1,1,1,1}</v>
      </c>
      <c r="Q36" s="465" t="str">
        <f>"{"&amp;S21&amp;","&amp;S22&amp;","&amp;S23&amp;","&amp;S24&amp;","&amp;S25&amp;"}"</f>
        <v>{1.1,1.1,1.1,1.2,1.3}</v>
      </c>
      <c r="R36" s="465" t="str">
        <f>"{"&amp;T21&amp;","&amp;T22&amp;","&amp;T23&amp;","&amp;T24&amp;","&amp;T25&amp;"}"</f>
        <v>{0.4,0.3,0.3,0.3,0.3}</v>
      </c>
      <c r="S36" s="465" t="str">
        <f>"{"&amp;U21&amp;","&amp;U22&amp;","&amp;U23&amp;","&amp;U24&amp;","&amp;U25&amp;"}"</f>
        <v>{9.9,11.2,11.8,11,11.2}</v>
      </c>
    </row>
    <row r="37" spans="1:21" ht="20.399999999999999" customHeight="1">
      <c r="A37" s="244"/>
      <c r="J37" s="466"/>
    </row>
    <row r="38" spans="1:21" ht="20.399999999999999" customHeight="1">
      <c r="J38" s="452"/>
      <c r="M38" s="451" t="s">
        <v>407</v>
      </c>
    </row>
    <row r="39" spans="1:21" ht="20.399999999999999" customHeight="1">
      <c r="N39" s="460" t="s">
        <v>15</v>
      </c>
      <c r="O39" s="460" t="s">
        <v>16</v>
      </c>
      <c r="P39" s="460" t="s">
        <v>164</v>
      </c>
      <c r="Q39" s="461" t="s">
        <v>408</v>
      </c>
    </row>
    <row r="40" spans="1:21" ht="20.399999999999999" customHeight="1">
      <c r="C40" s="1846"/>
      <c r="D40" s="1846"/>
      <c r="E40" s="1846"/>
      <c r="F40" s="1846"/>
      <c r="G40" s="1846"/>
      <c r="H40" s="1846"/>
      <c r="I40" s="1846"/>
      <c r="J40" s="1846"/>
      <c r="N40" s="451" t="b">
        <f>IF(ISERROR(VLOOKUP(0,$O$9:$O$13,1,FALSE)),FALSE,TRUE)</f>
        <v>1</v>
      </c>
      <c r="O40" s="451" t="b">
        <f>IF(ISERROR(VLOOKUP(0,$O$15:$O$19,1,FALSE)),FALSE,TRUE)</f>
        <v>1</v>
      </c>
      <c r="P40" s="451" t="b">
        <f>IF(ISERROR(VLOOKUP(0,$O$21:$O$25,1,FALSE)),FALSE,TRUE)</f>
        <v>0</v>
      </c>
      <c r="Q40" s="451" t="b">
        <f>IF(OR(N40=TRUE,O40=TRUE,P40=TRUE),TRUE,FALSE)</f>
        <v>1</v>
      </c>
      <c r="R40" s="468"/>
    </row>
    <row r="41" spans="1:21" ht="20.399999999999999" customHeight="1">
      <c r="C41" s="926" t="s">
        <v>561</v>
      </c>
      <c r="D41" s="475"/>
      <c r="E41" s="475"/>
      <c r="F41" s="475"/>
      <c r="G41" s="475"/>
      <c r="H41" s="475"/>
      <c r="I41" s="475"/>
      <c r="J41" s="475"/>
      <c r="M41" s="451" t="s">
        <v>409</v>
      </c>
    </row>
    <row r="42" spans="1:21">
      <c r="N42" s="451" t="str">
        <f>IF(Q40,"国庫支出金は端数処理により０％になる場合がある。","")</f>
        <v>国庫支出金は端数処理により０％になる場合がある。</v>
      </c>
    </row>
    <row r="43" spans="1:21">
      <c r="N43" s="451" t="s">
        <v>1091</v>
      </c>
    </row>
    <row r="44" spans="1:21">
      <c r="N44" s="451" t="str">
        <f>IF(AND(N42="",N43=""),"",IF(AND(N42&lt;&gt;"",N43=""),"※注　"&amp;N42,IF(AND(N42="",N43&lt;&gt;""),"※注　"&amp;N43,"※注1　"&amp;N42&amp;CHAR(10)&amp;"※注2　"&amp;N43)))</f>
        <v>※注1　国庫支出金は端数処理により０％になる場合がある。
※注2　30年度の制度改正により、一部項目は経年比較ができない。</v>
      </c>
    </row>
    <row r="46" spans="1:21">
      <c r="N46" s="469" t="s">
        <v>694</v>
      </c>
    </row>
    <row r="47" spans="1:21">
      <c r="N47" s="469"/>
    </row>
    <row r="50" spans="1:59" ht="27" customHeight="1">
      <c r="A50" s="927" t="s">
        <v>431</v>
      </c>
      <c r="J50" s="452"/>
      <c r="P50" s="451" t="s">
        <v>410</v>
      </c>
    </row>
    <row r="51" spans="1:59" ht="18" customHeight="1">
      <c r="B51" s="452"/>
      <c r="C51" s="453" t="s">
        <v>103</v>
      </c>
      <c r="J51" s="452"/>
      <c r="P51" s="451" t="s">
        <v>411</v>
      </c>
    </row>
    <row r="52" spans="1:59" s="456" customFormat="1" ht="4.5" customHeight="1">
      <c r="B52" s="454"/>
      <c r="C52" s="455"/>
      <c r="J52" s="457"/>
      <c r="AF52" s="1844" t="s">
        <v>1121</v>
      </c>
      <c r="AG52" s="1844" t="s">
        <v>1122</v>
      </c>
      <c r="AH52" s="1844" t="s">
        <v>1123</v>
      </c>
      <c r="AI52" s="1844" t="s">
        <v>1124</v>
      </c>
      <c r="AJ52" s="1844" t="s">
        <v>1125</v>
      </c>
      <c r="AK52" s="1844" t="s">
        <v>1126</v>
      </c>
      <c r="AL52" s="1844" t="s">
        <v>1127</v>
      </c>
      <c r="AM52" s="1844" t="s">
        <v>1128</v>
      </c>
      <c r="AN52" s="1844" t="s">
        <v>1129</v>
      </c>
      <c r="AO52" s="1844" t="s">
        <v>1130</v>
      </c>
      <c r="AP52" s="1844" t="s">
        <v>1131</v>
      </c>
      <c r="AQ52" s="1844" t="s">
        <v>1132</v>
      </c>
      <c r="AR52" s="1844" t="s">
        <v>1133</v>
      </c>
      <c r="AS52" s="1844" t="s">
        <v>1134</v>
      </c>
      <c r="AT52" s="1844" t="s">
        <v>1135</v>
      </c>
      <c r="AU52" s="1844" t="s">
        <v>1136</v>
      </c>
      <c r="AV52" s="1844" t="s">
        <v>1137</v>
      </c>
      <c r="AW52" s="1844" t="s">
        <v>1138</v>
      </c>
      <c r="AX52" s="1844" t="s">
        <v>1139</v>
      </c>
      <c r="AY52" s="1844" t="s">
        <v>1140</v>
      </c>
      <c r="AZ52" s="1844" t="s">
        <v>1141</v>
      </c>
      <c r="BA52" s="1844" t="s">
        <v>1142</v>
      </c>
      <c r="BB52" s="1844" t="s">
        <v>1143</v>
      </c>
      <c r="BC52" s="1844" t="s">
        <v>1144</v>
      </c>
      <c r="BD52" s="1844" t="s">
        <v>1145</v>
      </c>
      <c r="BE52" s="1844" t="s">
        <v>1146</v>
      </c>
      <c r="BF52" s="1844" t="s">
        <v>1147</v>
      </c>
      <c r="BG52" s="1844" t="s">
        <v>1148</v>
      </c>
    </row>
    <row r="53" spans="1:59" ht="20.100000000000001" customHeight="1">
      <c r="J53" s="452"/>
      <c r="P53" s="451" t="s">
        <v>412</v>
      </c>
      <c r="AF53" s="1844"/>
      <c r="AG53" s="1845"/>
      <c r="AH53" s="1845"/>
      <c r="AI53" s="1845"/>
      <c r="AJ53" s="1845"/>
      <c r="AK53" s="1845"/>
      <c r="AL53" s="1845"/>
      <c r="AM53" s="1845"/>
      <c r="AN53" s="1845"/>
      <c r="AO53" s="1845"/>
      <c r="AP53" s="1845"/>
      <c r="AQ53" s="1845"/>
      <c r="AR53" s="1845"/>
      <c r="AS53" s="1845"/>
      <c r="AT53" s="1845"/>
      <c r="AU53" s="1845"/>
      <c r="AV53" s="1845"/>
      <c r="AW53" s="1845"/>
      <c r="AX53" s="1845"/>
      <c r="AY53" s="1845"/>
      <c r="AZ53" s="1845"/>
      <c r="BA53" s="1845"/>
      <c r="BB53" s="1845"/>
      <c r="BC53" s="1845"/>
      <c r="BD53" s="1845"/>
      <c r="BE53" s="1845"/>
      <c r="BF53" s="1845"/>
      <c r="BG53" s="1845"/>
    </row>
    <row r="54" spans="1:59" ht="20.100000000000001" customHeight="1">
      <c r="J54" s="452"/>
      <c r="AF54" s="1844"/>
      <c r="AG54" s="1845"/>
      <c r="AH54" s="1845"/>
      <c r="AI54" s="1845"/>
      <c r="AJ54" s="1845"/>
      <c r="AK54" s="1845"/>
      <c r="AL54" s="1845"/>
      <c r="AM54" s="1845"/>
      <c r="AN54" s="1845"/>
      <c r="AO54" s="1845"/>
      <c r="AP54" s="1845"/>
      <c r="AQ54" s="1845"/>
      <c r="AR54" s="1845"/>
      <c r="AS54" s="1845"/>
      <c r="AT54" s="1845"/>
      <c r="AU54" s="1845"/>
      <c r="AV54" s="1845"/>
      <c r="AW54" s="1845"/>
      <c r="AX54" s="1845"/>
      <c r="AY54" s="1845"/>
      <c r="AZ54" s="1845"/>
      <c r="BA54" s="1845"/>
      <c r="BB54" s="1845"/>
      <c r="BC54" s="1845"/>
      <c r="BD54" s="1845"/>
      <c r="BE54" s="1845"/>
      <c r="BF54" s="1845"/>
      <c r="BG54" s="1845"/>
    </row>
    <row r="55" spans="1:59" ht="20.100000000000001" customHeight="1">
      <c r="J55" s="452"/>
      <c r="M55" s="470" t="s">
        <v>413</v>
      </c>
      <c r="N55" s="456" t="s">
        <v>414</v>
      </c>
      <c r="AF55" s="1844"/>
      <c r="AG55" s="1845"/>
      <c r="AH55" s="1845"/>
      <c r="AI55" s="1845"/>
      <c r="AJ55" s="1845"/>
      <c r="AK55" s="1845"/>
      <c r="AL55" s="1845"/>
      <c r="AM55" s="1845"/>
      <c r="AN55" s="1845"/>
      <c r="AO55" s="1845"/>
      <c r="AP55" s="1845"/>
      <c r="AQ55" s="1845"/>
      <c r="AR55" s="1845"/>
      <c r="AS55" s="1845"/>
      <c r="AT55" s="1845"/>
      <c r="AU55" s="1845"/>
      <c r="AV55" s="1845"/>
      <c r="AW55" s="1845"/>
      <c r="AX55" s="1845"/>
      <c r="AY55" s="1845"/>
      <c r="AZ55" s="1845"/>
      <c r="BA55" s="1845"/>
      <c r="BB55" s="1845"/>
      <c r="BC55" s="1845"/>
      <c r="BD55" s="1845"/>
      <c r="BE55" s="1845"/>
      <c r="BF55" s="1845"/>
      <c r="BG55" s="1845"/>
    </row>
    <row r="56" spans="1:59" ht="20.100000000000001" customHeight="1">
      <c r="J56" s="452"/>
      <c r="N56" s="1295" t="s">
        <v>720</v>
      </c>
      <c r="O56" s="1295" t="s">
        <v>719</v>
      </c>
      <c r="P56" s="1295" t="s">
        <v>721</v>
      </c>
      <c r="Q56" s="1295" t="s">
        <v>722</v>
      </c>
      <c r="R56" s="1295" t="s">
        <v>723</v>
      </c>
      <c r="S56" s="1288" t="s">
        <v>724</v>
      </c>
      <c r="T56" s="1288" t="s">
        <v>725</v>
      </c>
      <c r="U56" s="1288" t="s">
        <v>726</v>
      </c>
      <c r="V56" s="1288" t="s">
        <v>727</v>
      </c>
      <c r="W56" s="1288" t="s">
        <v>728</v>
      </c>
      <c r="X56" s="1288" t="s">
        <v>729</v>
      </c>
      <c r="Y56" s="1288" t="s">
        <v>730</v>
      </c>
      <c r="Z56" s="1288" t="s">
        <v>731</v>
      </c>
      <c r="AA56" s="1295" t="s">
        <v>732</v>
      </c>
      <c r="AB56" s="1288" t="s">
        <v>733</v>
      </c>
      <c r="AC56" s="1295" t="s">
        <v>734</v>
      </c>
      <c r="AD56" s="1288" t="s">
        <v>401</v>
      </c>
      <c r="AF56" s="1602" t="s">
        <v>735</v>
      </c>
      <c r="AG56" s="1602" t="s">
        <v>638</v>
      </c>
      <c r="AH56" s="1602" t="s">
        <v>736</v>
      </c>
      <c r="AI56" s="1602" t="s">
        <v>644</v>
      </c>
      <c r="AJ56" s="1603" t="s">
        <v>1149</v>
      </c>
      <c r="AK56" s="1602" t="s">
        <v>1153</v>
      </c>
      <c r="AL56" s="1602" t="s">
        <v>1152</v>
      </c>
      <c r="AM56" s="1602" t="s">
        <v>1093</v>
      </c>
      <c r="AN56" s="1603" t="s">
        <v>1150</v>
      </c>
      <c r="AO56" s="1602" t="s">
        <v>642</v>
      </c>
      <c r="AP56" s="1602" t="s">
        <v>641</v>
      </c>
      <c r="AQ56" s="1602" t="s">
        <v>640</v>
      </c>
      <c r="AR56" s="1603" t="s">
        <v>1151</v>
      </c>
      <c r="AS56" s="1602" t="s">
        <v>737</v>
      </c>
      <c r="AT56" s="1602" t="s">
        <v>738</v>
      </c>
      <c r="AU56" s="1602" t="s">
        <v>739</v>
      </c>
      <c r="AV56" s="1602" t="s">
        <v>740</v>
      </c>
      <c r="AW56" s="1602" t="s">
        <v>741</v>
      </c>
      <c r="AX56" s="1602" t="s">
        <v>742</v>
      </c>
      <c r="AY56" s="1602" t="s">
        <v>743</v>
      </c>
      <c r="AZ56" s="1602" t="s">
        <v>744</v>
      </c>
      <c r="BA56" s="1602" t="s">
        <v>691</v>
      </c>
      <c r="BB56" s="1602" t="s">
        <v>692</v>
      </c>
      <c r="BC56" s="1602" t="s">
        <v>693</v>
      </c>
      <c r="BD56" s="1602" t="s">
        <v>745</v>
      </c>
      <c r="BE56" s="1602" t="s">
        <v>746</v>
      </c>
      <c r="BF56" s="1602" t="s">
        <v>747</v>
      </c>
      <c r="BG56" s="1602" t="s">
        <v>748</v>
      </c>
    </row>
    <row r="57" spans="1:59" ht="20.100000000000001" customHeight="1">
      <c r="J57" s="452"/>
      <c r="M57" s="460" t="s">
        <v>15</v>
      </c>
      <c r="N57" s="461" t="s">
        <v>416</v>
      </c>
      <c r="O57" s="461" t="s">
        <v>417</v>
      </c>
      <c r="P57" s="461" t="s">
        <v>188</v>
      </c>
      <c r="Q57" s="461" t="s">
        <v>324</v>
      </c>
      <c r="R57" s="461" t="s">
        <v>418</v>
      </c>
      <c r="S57" s="1291" t="s">
        <v>419</v>
      </c>
      <c r="T57" s="1291" t="s">
        <v>420</v>
      </c>
      <c r="U57" s="1292" t="s">
        <v>421</v>
      </c>
      <c r="V57" s="1292" t="s">
        <v>422</v>
      </c>
      <c r="W57" s="1292" t="s">
        <v>423</v>
      </c>
      <c r="X57" s="1292" t="s">
        <v>318</v>
      </c>
      <c r="Y57" s="1291" t="s">
        <v>385</v>
      </c>
      <c r="Z57" s="461" t="s">
        <v>315</v>
      </c>
      <c r="AA57" s="461" t="s">
        <v>386</v>
      </c>
      <c r="AB57" s="471" t="s">
        <v>320</v>
      </c>
      <c r="AC57" s="461" t="s">
        <v>424</v>
      </c>
      <c r="AD57" s="461" t="s">
        <v>425</v>
      </c>
    </row>
    <row r="58" spans="1:59" ht="20.100000000000001" customHeight="1">
      <c r="J58" s="452"/>
      <c r="M58" s="460">
        <f>M9</f>
        <v>29</v>
      </c>
      <c r="N58" s="1287">
        <f t="shared" ref="N58:N61" si="16">ROUND((AG58+AH58)/AF58*100,1)</f>
        <v>47.5</v>
      </c>
      <c r="O58" s="1287">
        <f t="shared" ref="O58:O61" si="17">ROUND((AI58+AJ58)/AF58*100,1)</f>
        <v>0.5</v>
      </c>
      <c r="P58" s="1287">
        <f t="shared" ref="P58:P61" si="18">ROUND((AK58+AL58)/AF58*100,1)</f>
        <v>6.4</v>
      </c>
      <c r="Q58" s="1287">
        <f t="shared" ref="Q58:Q61" si="19">ROUND((AM58+AN58)/AF58*100,1)</f>
        <v>0</v>
      </c>
      <c r="R58" s="1287">
        <f t="shared" ref="R58:R61" si="20">ROUND((AO58+AP58+AQ58+AR58)/AF58*100,1)</f>
        <v>0.5</v>
      </c>
      <c r="S58" s="1287">
        <f t="shared" ref="S58:S61" si="21">ROUND(AS58/AF58*100,1)</f>
        <v>11.9</v>
      </c>
      <c r="T58" s="1287">
        <f t="shared" ref="T58:T61" si="22">ROUND(AT58/AF58*100,1)</f>
        <v>0</v>
      </c>
      <c r="U58" s="1287">
        <f t="shared" ref="U58:U61" si="23">ROUND(AU58/AF58*100,1)</f>
        <v>0</v>
      </c>
      <c r="V58" s="1287">
        <f t="shared" ref="V58:V61" si="24">ROUND(AV58/AF58*100,1)</f>
        <v>0</v>
      </c>
      <c r="W58" s="1287">
        <f t="shared" ref="W58:W61" si="25">ROUND(AW58/AF58*100,1)</f>
        <v>0</v>
      </c>
      <c r="X58" s="1287">
        <f t="shared" ref="X58:X61" si="26">ROUND(AX58/AF58*100,1)</f>
        <v>0</v>
      </c>
      <c r="Y58" s="1287">
        <f t="shared" ref="Y58:Y61" si="27">ROUND(AY58/AF58*100,1)</f>
        <v>4.8</v>
      </c>
      <c r="Z58" s="1287">
        <f t="shared" ref="Z58:Z61" si="28">ROUND(AZ58/AF58*100,1)</f>
        <v>1.7</v>
      </c>
      <c r="AA58" s="1287">
        <f t="shared" ref="AA58:AA61" si="29">ROUND((BA58+BB58+BC58)/AF58*100,1)</f>
        <v>0.8</v>
      </c>
      <c r="AB58" s="1287">
        <f t="shared" ref="AB58:AB61" si="30">ROUND(BD58/AF58*100,1)</f>
        <v>0</v>
      </c>
      <c r="AC58" s="1287">
        <f t="shared" ref="AC58:AC61" si="31">ROUND((BE58+BF58+BG58)/AF58*100,1)</f>
        <v>24.5</v>
      </c>
      <c r="AD58" s="1287">
        <f t="shared" ref="AD58:AD61" si="32">ROUND(100-SUM(N58:AC58),1)</f>
        <v>1.4</v>
      </c>
      <c r="AF58" s="1630">
        <v>1053381804564</v>
      </c>
      <c r="AG58" s="1630">
        <v>500218521269</v>
      </c>
      <c r="AH58" s="1630">
        <v>687600</v>
      </c>
      <c r="AI58" s="1630">
        <v>5529804318</v>
      </c>
      <c r="AJ58" s="1630">
        <v>0</v>
      </c>
      <c r="AK58" s="1630">
        <v>65946942706</v>
      </c>
      <c r="AL58" s="1630">
        <v>950300578</v>
      </c>
      <c r="AM58" s="1630">
        <v>85155088</v>
      </c>
      <c r="AN58" s="1630">
        <v>1159455</v>
      </c>
      <c r="AO58" s="1630">
        <v>4103689790</v>
      </c>
      <c r="AP58" s="1630">
        <v>723310000</v>
      </c>
      <c r="AQ58" s="1630">
        <v>0</v>
      </c>
      <c r="AR58" s="1630">
        <v>662694171</v>
      </c>
      <c r="AS58" s="1630">
        <v>124843559069</v>
      </c>
      <c r="AT58" s="1630">
        <v>456319813</v>
      </c>
      <c r="AU58" s="1630">
        <v>0</v>
      </c>
      <c r="AV58" s="1630">
        <v>0</v>
      </c>
      <c r="AW58" s="1630">
        <v>0</v>
      </c>
      <c r="AX58" s="1630">
        <v>0</v>
      </c>
      <c r="AY58" s="1630">
        <v>50687513800</v>
      </c>
      <c r="AZ58" s="1630">
        <v>17477850115</v>
      </c>
      <c r="BA58" s="1630">
        <v>574982305</v>
      </c>
      <c r="BB58" s="1630">
        <v>7722083250</v>
      </c>
      <c r="BC58" s="1630">
        <v>0</v>
      </c>
      <c r="BD58" s="1630">
        <v>0</v>
      </c>
      <c r="BE58" s="1630">
        <v>27258567945</v>
      </c>
      <c r="BF58" s="1630">
        <v>230709249287</v>
      </c>
      <c r="BG58" s="1630">
        <v>94689</v>
      </c>
    </row>
    <row r="59" spans="1:59" ht="20.100000000000001" customHeight="1">
      <c r="J59" s="452"/>
      <c r="M59" s="460">
        <f t="shared" ref="M59:M62" si="33">M10</f>
        <v>30</v>
      </c>
      <c r="N59" s="1287">
        <f t="shared" si="16"/>
        <v>52.1</v>
      </c>
      <c r="O59" s="1287">
        <f t="shared" si="17"/>
        <v>0.2</v>
      </c>
      <c r="P59" s="1287">
        <f t="shared" si="18"/>
        <v>7</v>
      </c>
      <c r="Q59" s="1287">
        <f t="shared" si="19"/>
        <v>0</v>
      </c>
      <c r="R59" s="1287">
        <f t="shared" si="20"/>
        <v>0.5</v>
      </c>
      <c r="S59" s="1287">
        <f t="shared" si="21"/>
        <v>0</v>
      </c>
      <c r="T59" s="1287">
        <f t="shared" si="22"/>
        <v>0</v>
      </c>
      <c r="U59" s="1287">
        <f t="shared" si="23"/>
        <v>24.2</v>
      </c>
      <c r="V59" s="1287">
        <f t="shared" si="24"/>
        <v>7.4</v>
      </c>
      <c r="W59" s="1287">
        <f t="shared" si="25"/>
        <v>2.9</v>
      </c>
      <c r="X59" s="1287">
        <f t="shared" si="26"/>
        <v>0</v>
      </c>
      <c r="Y59" s="1287">
        <f t="shared" si="27"/>
        <v>0</v>
      </c>
      <c r="Z59" s="1287">
        <f t="shared" si="28"/>
        <v>1.8</v>
      </c>
      <c r="AA59" s="1287">
        <f t="shared" si="29"/>
        <v>0.9</v>
      </c>
      <c r="AB59" s="1287">
        <f t="shared" si="30"/>
        <v>0</v>
      </c>
      <c r="AC59" s="1287">
        <f t="shared" si="31"/>
        <v>0</v>
      </c>
      <c r="AD59" s="1287">
        <f t="shared" si="32"/>
        <v>3</v>
      </c>
      <c r="AF59" s="1630">
        <v>934453317621</v>
      </c>
      <c r="AG59" s="1630">
        <v>486418918937</v>
      </c>
      <c r="AH59" s="1630">
        <v>5585570</v>
      </c>
      <c r="AI59" s="1630">
        <v>2213465027</v>
      </c>
      <c r="AJ59" s="1630">
        <v>0</v>
      </c>
      <c r="AK59" s="1630">
        <v>65064171982</v>
      </c>
      <c r="AL59" s="1630">
        <v>385173133</v>
      </c>
      <c r="AM59" s="1630">
        <v>78820035</v>
      </c>
      <c r="AN59" s="1630">
        <v>1109743</v>
      </c>
      <c r="AO59" s="1630">
        <v>3707143257</v>
      </c>
      <c r="AP59" s="1630">
        <v>705355000</v>
      </c>
      <c r="AQ59" s="1630">
        <v>0</v>
      </c>
      <c r="AR59" s="1630">
        <v>668643308</v>
      </c>
      <c r="AS59" s="1630">
        <v>0</v>
      </c>
      <c r="AT59" s="1630">
        <v>0</v>
      </c>
      <c r="AU59" s="1630">
        <v>226550358328</v>
      </c>
      <c r="AV59" s="1630">
        <v>69174622552</v>
      </c>
      <c r="AW59" s="1630">
        <v>27267389753</v>
      </c>
      <c r="AX59" s="1630">
        <v>0</v>
      </c>
      <c r="AY59" s="1630">
        <v>0</v>
      </c>
      <c r="AZ59" s="1630">
        <v>16411841212</v>
      </c>
      <c r="BA59" s="1630">
        <v>512406162</v>
      </c>
      <c r="BB59" s="1630">
        <v>7562250163</v>
      </c>
      <c r="BC59" s="1630">
        <v>0</v>
      </c>
      <c r="BD59" s="1630">
        <v>0</v>
      </c>
      <c r="BE59" s="1630">
        <v>0</v>
      </c>
      <c r="BF59" s="1630">
        <v>0</v>
      </c>
      <c r="BG59" s="1630">
        <v>0</v>
      </c>
    </row>
    <row r="60" spans="1:59" ht="20.100000000000001" customHeight="1">
      <c r="J60" s="452"/>
      <c r="M60" s="460" t="str">
        <f t="shared" si="33"/>
        <v>元</v>
      </c>
      <c r="N60" s="1287">
        <f t="shared" si="16"/>
        <v>53.4</v>
      </c>
      <c r="O60" s="1287">
        <f t="shared" si="17"/>
        <v>0.1</v>
      </c>
      <c r="P60" s="1287">
        <f t="shared" si="18"/>
        <v>7.3</v>
      </c>
      <c r="Q60" s="1287">
        <f t="shared" si="19"/>
        <v>0</v>
      </c>
      <c r="R60" s="1287">
        <f t="shared" si="20"/>
        <v>0.5</v>
      </c>
      <c r="S60" s="1287">
        <f t="shared" si="21"/>
        <v>0</v>
      </c>
      <c r="T60" s="1287">
        <f t="shared" si="22"/>
        <v>0</v>
      </c>
      <c r="U60" s="1287">
        <f t="shared" si="23"/>
        <v>24.2</v>
      </c>
      <c r="V60" s="1287">
        <f t="shared" si="24"/>
        <v>7.4</v>
      </c>
      <c r="W60" s="1287">
        <f t="shared" si="25"/>
        <v>2.9</v>
      </c>
      <c r="X60" s="1287">
        <f t="shared" si="26"/>
        <v>0</v>
      </c>
      <c r="Y60" s="1287">
        <f t="shared" si="27"/>
        <v>0</v>
      </c>
      <c r="Z60" s="1287">
        <f t="shared" si="28"/>
        <v>1.9</v>
      </c>
      <c r="AA60" s="1287">
        <f t="shared" si="29"/>
        <v>0.9</v>
      </c>
      <c r="AB60" s="1287">
        <f t="shared" si="30"/>
        <v>0.6</v>
      </c>
      <c r="AC60" s="1287">
        <f t="shared" si="31"/>
        <v>0</v>
      </c>
      <c r="AD60" s="1287">
        <f t="shared" si="32"/>
        <v>0.8</v>
      </c>
      <c r="AF60" s="1630">
        <v>902153049903</v>
      </c>
      <c r="AG60" s="1630">
        <v>481904742903</v>
      </c>
      <c r="AH60" s="1630">
        <v>1212592</v>
      </c>
      <c r="AI60" s="1630">
        <v>467434671</v>
      </c>
      <c r="AJ60" s="1630">
        <v>0</v>
      </c>
      <c r="AK60" s="1630">
        <v>66029554274</v>
      </c>
      <c r="AL60" s="1630">
        <v>88832019</v>
      </c>
      <c r="AM60" s="1630">
        <v>96192592</v>
      </c>
      <c r="AN60" s="1630">
        <v>228728</v>
      </c>
      <c r="AO60" s="1630">
        <v>3441838505</v>
      </c>
      <c r="AP60" s="1630">
        <v>676970000</v>
      </c>
      <c r="AQ60" s="1630">
        <v>0</v>
      </c>
      <c r="AR60" s="1630">
        <v>678145750</v>
      </c>
      <c r="AS60" s="1630">
        <v>0</v>
      </c>
      <c r="AT60" s="1630">
        <v>0</v>
      </c>
      <c r="AU60" s="1630">
        <v>218412371108</v>
      </c>
      <c r="AV60" s="1630">
        <v>66875262201</v>
      </c>
      <c r="AW60" s="1630">
        <v>26171063409</v>
      </c>
      <c r="AX60" s="1630">
        <v>0</v>
      </c>
      <c r="AY60" s="1630">
        <v>0</v>
      </c>
      <c r="AZ60" s="1630">
        <v>16984741526</v>
      </c>
      <c r="BA60" s="1630">
        <v>529659363</v>
      </c>
      <c r="BB60" s="1630">
        <v>7213832595</v>
      </c>
      <c r="BC60" s="1630">
        <v>0</v>
      </c>
      <c r="BD60" s="1630">
        <v>5006059812</v>
      </c>
      <c r="BE60" s="1630">
        <v>0</v>
      </c>
      <c r="BF60" s="1630">
        <v>0</v>
      </c>
      <c r="BG60" s="1630">
        <v>0</v>
      </c>
    </row>
    <row r="61" spans="1:59" ht="20.100000000000001" customHeight="1">
      <c r="J61" s="452"/>
      <c r="M61" s="460">
        <f t="shared" si="33"/>
        <v>2</v>
      </c>
      <c r="N61" s="1287">
        <f t="shared" si="16"/>
        <v>52.6</v>
      </c>
      <c r="O61" s="1287">
        <f t="shared" si="17"/>
        <v>0</v>
      </c>
      <c r="P61" s="1287">
        <f t="shared" si="18"/>
        <v>7.5</v>
      </c>
      <c r="Q61" s="1287">
        <f t="shared" si="19"/>
        <v>0</v>
      </c>
      <c r="R61" s="1287">
        <f t="shared" si="20"/>
        <v>0.5</v>
      </c>
      <c r="S61" s="1287">
        <f t="shared" si="21"/>
        <v>0</v>
      </c>
      <c r="T61" s="1287">
        <f t="shared" si="22"/>
        <v>0</v>
      </c>
      <c r="U61" s="1287">
        <f t="shared" si="23"/>
        <v>24.2</v>
      </c>
      <c r="V61" s="1287">
        <f t="shared" si="24"/>
        <v>7.7</v>
      </c>
      <c r="W61" s="1287">
        <f t="shared" si="25"/>
        <v>3.1</v>
      </c>
      <c r="X61" s="1287">
        <f t="shared" si="26"/>
        <v>0</v>
      </c>
      <c r="Y61" s="1287">
        <f t="shared" si="27"/>
        <v>0</v>
      </c>
      <c r="Z61" s="1287">
        <f t="shared" si="28"/>
        <v>2</v>
      </c>
      <c r="AA61" s="1287">
        <f t="shared" si="29"/>
        <v>0.8</v>
      </c>
      <c r="AB61" s="1287">
        <f t="shared" si="30"/>
        <v>0.6</v>
      </c>
      <c r="AC61" s="1287">
        <f t="shared" si="31"/>
        <v>0</v>
      </c>
      <c r="AD61" s="1287">
        <f t="shared" si="32"/>
        <v>1</v>
      </c>
      <c r="AF61" s="1630">
        <v>866753837200</v>
      </c>
      <c r="AG61" s="1630">
        <v>456028273646</v>
      </c>
      <c r="AH61" s="1630">
        <v>720773</v>
      </c>
      <c r="AI61" s="1630">
        <v>12022965</v>
      </c>
      <c r="AJ61" s="1630">
        <v>0</v>
      </c>
      <c r="AK61" s="1630">
        <v>65358724702</v>
      </c>
      <c r="AL61" s="1630">
        <v>5253589</v>
      </c>
      <c r="AM61" s="1630">
        <v>96242305</v>
      </c>
      <c r="AN61" s="1630">
        <v>33887</v>
      </c>
      <c r="AO61" s="1630">
        <v>2845451734</v>
      </c>
      <c r="AP61" s="1630">
        <v>686840000</v>
      </c>
      <c r="AQ61" s="1630">
        <v>0</v>
      </c>
      <c r="AR61" s="1630">
        <v>738996568</v>
      </c>
      <c r="AS61" s="1630">
        <v>0</v>
      </c>
      <c r="AT61" s="1630">
        <v>0</v>
      </c>
      <c r="AU61" s="1630">
        <v>209367084950</v>
      </c>
      <c r="AV61" s="1630">
        <v>66525896185</v>
      </c>
      <c r="AW61" s="1630">
        <v>27247280430</v>
      </c>
      <c r="AX61" s="1630">
        <v>0</v>
      </c>
      <c r="AY61" s="1630">
        <v>0</v>
      </c>
      <c r="AZ61" s="1630">
        <v>17547190560</v>
      </c>
      <c r="BA61" s="1630">
        <v>472899114</v>
      </c>
      <c r="BB61" s="1630">
        <v>6665000900</v>
      </c>
      <c r="BC61" s="1630">
        <v>0</v>
      </c>
      <c r="BD61" s="1630">
        <v>5144535152</v>
      </c>
      <c r="BE61" s="1630">
        <v>0</v>
      </c>
      <c r="BF61" s="1630">
        <v>0</v>
      </c>
      <c r="BG61" s="1630">
        <v>0</v>
      </c>
    </row>
    <row r="62" spans="1:59" ht="20.100000000000001" customHeight="1">
      <c r="J62" s="452"/>
      <c r="M62" s="460">
        <f t="shared" si="33"/>
        <v>3</v>
      </c>
      <c r="N62" s="1287">
        <f>ROUND((AG62+AH62)/AF62*100,1)</f>
        <v>54.4</v>
      </c>
      <c r="O62" s="1287">
        <f>ROUND((AI62+AJ62)/AF62*100,1)</f>
        <v>0</v>
      </c>
      <c r="P62" s="1287">
        <f>ROUND((AK62+AL62)/AF62*100,1)</f>
        <v>7.7</v>
      </c>
      <c r="Q62" s="1287">
        <f>ROUND((AM62+AN62)/AF62*100,1)</f>
        <v>0</v>
      </c>
      <c r="R62" s="1287">
        <f>ROUND((AO62+AP62+AQ62+AR62)/AF62*100,1)</f>
        <v>0.5</v>
      </c>
      <c r="S62" s="1287">
        <f>ROUND(AS62/AF62*100,1)</f>
        <v>0</v>
      </c>
      <c r="T62" s="1287">
        <f>ROUND(AT62/AF62*100,1)</f>
        <v>0</v>
      </c>
      <c r="U62" s="1287">
        <f>ROUND(AU62/AF62*100,1)</f>
        <v>22</v>
      </c>
      <c r="V62" s="1287">
        <f>ROUND(AV62/AF62*100,1)</f>
        <v>7.3</v>
      </c>
      <c r="W62" s="1287">
        <f>ROUND(AW62/AF62*100,1)</f>
        <v>3.4</v>
      </c>
      <c r="X62" s="1287">
        <f>ROUND(AX62/AF62*100,1)</f>
        <v>0</v>
      </c>
      <c r="Y62" s="1287">
        <f>ROUND(AY62/AF62*100,1)</f>
        <v>0</v>
      </c>
      <c r="Z62" s="1287">
        <f>ROUND(AZ62/AF62*100,1)</f>
        <v>2</v>
      </c>
      <c r="AA62" s="1287">
        <f>ROUND((BA62+BB62+BC62)/AF62*100,1)</f>
        <v>0.8</v>
      </c>
      <c r="AB62" s="1287">
        <f>ROUND(BD62/AF62*100,1)</f>
        <v>0.7</v>
      </c>
      <c r="AC62" s="1287">
        <f>ROUND((BE62+BF62+BG62)/AF62*100,1)</f>
        <v>0</v>
      </c>
      <c r="AD62" s="1287">
        <f>ROUND(100-SUM(N62:AC62),1)</f>
        <v>1.2</v>
      </c>
      <c r="AF62" s="1630">
        <v>896004255787</v>
      </c>
      <c r="AG62" s="1630">
        <v>487817925641</v>
      </c>
      <c r="AH62" s="1630">
        <v>1145253</v>
      </c>
      <c r="AI62" s="1630">
        <v>1102593</v>
      </c>
      <c r="AJ62" s="1630">
        <v>0</v>
      </c>
      <c r="AK62" s="1630">
        <v>69382066030</v>
      </c>
      <c r="AL62" s="1630">
        <v>26816</v>
      </c>
      <c r="AM62" s="1630">
        <v>101135780</v>
      </c>
      <c r="AN62" s="1630">
        <v>0</v>
      </c>
      <c r="AO62" s="1630">
        <v>2718017279</v>
      </c>
      <c r="AP62" s="1630">
        <v>686980000</v>
      </c>
      <c r="AQ62" s="1630">
        <v>0</v>
      </c>
      <c r="AR62" s="1630">
        <v>850266922</v>
      </c>
      <c r="AS62" s="1630">
        <v>0</v>
      </c>
      <c r="AT62" s="1630">
        <v>0</v>
      </c>
      <c r="AU62" s="1630">
        <v>197333908860</v>
      </c>
      <c r="AV62" s="1630">
        <v>65768221687</v>
      </c>
      <c r="AW62" s="1630">
        <v>30234362734</v>
      </c>
      <c r="AX62" s="1630">
        <v>0</v>
      </c>
      <c r="AY62" s="1630">
        <v>0</v>
      </c>
      <c r="AZ62" s="1630">
        <v>17562346484</v>
      </c>
      <c r="BA62" s="1630">
        <v>504451182</v>
      </c>
      <c r="BB62" s="1630">
        <v>6927547860</v>
      </c>
      <c r="BC62" s="1630">
        <v>0</v>
      </c>
      <c r="BD62" s="1630">
        <v>5930182929</v>
      </c>
      <c r="BE62" s="1630">
        <v>0</v>
      </c>
      <c r="BF62" s="1630">
        <v>0</v>
      </c>
      <c r="BG62" s="1630">
        <v>0</v>
      </c>
    </row>
    <row r="63" spans="1:59" ht="20.100000000000001" customHeight="1">
      <c r="J63" s="452"/>
      <c r="M63" s="460" t="s">
        <v>16</v>
      </c>
      <c r="N63" s="462" t="s">
        <v>416</v>
      </c>
      <c r="O63" s="462" t="s">
        <v>417</v>
      </c>
      <c r="P63" s="462" t="s">
        <v>188</v>
      </c>
      <c r="Q63" s="461" t="s">
        <v>324</v>
      </c>
      <c r="R63" s="462" t="s">
        <v>418</v>
      </c>
      <c r="S63" s="1291" t="s">
        <v>419</v>
      </c>
      <c r="T63" s="1291" t="s">
        <v>420</v>
      </c>
      <c r="U63" s="1292" t="s">
        <v>421</v>
      </c>
      <c r="V63" s="1292" t="s">
        <v>422</v>
      </c>
      <c r="W63" s="1292" t="s">
        <v>423</v>
      </c>
      <c r="X63" s="1292" t="s">
        <v>318</v>
      </c>
      <c r="Y63" s="1293" t="s">
        <v>385</v>
      </c>
      <c r="Z63" s="462" t="s">
        <v>315</v>
      </c>
      <c r="AA63" s="462" t="s">
        <v>386</v>
      </c>
      <c r="AB63" s="471" t="s">
        <v>320</v>
      </c>
      <c r="AC63" s="472" t="s">
        <v>424</v>
      </c>
      <c r="AD63" s="462" t="s">
        <v>425</v>
      </c>
      <c r="AF63" s="1598"/>
      <c r="AG63" s="1598"/>
      <c r="AH63" s="1598"/>
      <c r="AI63" s="1598"/>
      <c r="AJ63" s="1598"/>
      <c r="AK63" s="1598"/>
      <c r="AL63" s="1598"/>
      <c r="AM63" s="1598"/>
      <c r="AN63" s="1598"/>
      <c r="AO63" s="1598"/>
      <c r="AP63" s="1598"/>
      <c r="AQ63" s="1598"/>
      <c r="AR63" s="1598"/>
      <c r="AS63" s="1598"/>
      <c r="AT63" s="1598"/>
      <c r="AU63" s="1598"/>
      <c r="AV63" s="1598"/>
      <c r="AW63" s="1598"/>
      <c r="AX63" s="1598"/>
      <c r="AY63" s="1598"/>
      <c r="AZ63" s="1598"/>
      <c r="BA63" s="1598"/>
      <c r="BB63" s="1598"/>
      <c r="BC63" s="1598"/>
      <c r="BD63" s="1598"/>
      <c r="BE63" s="1598"/>
      <c r="BF63" s="1598"/>
      <c r="BG63" s="1598"/>
    </row>
    <row r="64" spans="1:59" ht="20.100000000000001" customHeight="1">
      <c r="J64" s="452"/>
      <c r="M64" s="460">
        <f>M58</f>
        <v>29</v>
      </c>
      <c r="N64" s="1287">
        <f t="shared" ref="N64:N68" si="34">ROUND((AG64+AH64)/AF64*100,1)</f>
        <v>49.6</v>
      </c>
      <c r="O64" s="1287">
        <f t="shared" ref="O64:O68" si="35">ROUND((AI64+AJ64)/AF64*100,1)</f>
        <v>0.6</v>
      </c>
      <c r="P64" s="1287">
        <f t="shared" ref="P64:P68" si="36">ROUND((AK64+AL64)/AF64*100,1)</f>
        <v>6.7</v>
      </c>
      <c r="Q64" s="1287">
        <f t="shared" ref="Q64:Q68" si="37">ROUND((AM64+AN64)/AF64*100,1)</f>
        <v>0</v>
      </c>
      <c r="R64" s="1287">
        <f t="shared" ref="R64:R68" si="38">ROUND((AO64+AP64+AQ64+AR64)/AF64*100,1)</f>
        <v>0.4</v>
      </c>
      <c r="S64" s="1287">
        <f t="shared" ref="S64:S68" si="39">ROUND(AS64/AF64*100,1)</f>
        <v>11.7</v>
      </c>
      <c r="T64" s="1287">
        <f t="shared" ref="T64:T68" si="40">ROUND(AT64/AF64*100,1)</f>
        <v>0</v>
      </c>
      <c r="U64" s="1287">
        <f t="shared" ref="U64:U68" si="41">ROUND(AU64/AF64*100,1)</f>
        <v>0</v>
      </c>
      <c r="V64" s="1287">
        <f t="shared" ref="V64:V68" si="42">ROUND(AV64/AF64*100,1)</f>
        <v>0</v>
      </c>
      <c r="W64" s="1287">
        <f t="shared" ref="W64:W68" si="43">ROUND(AW64/AF64*100,1)</f>
        <v>0</v>
      </c>
      <c r="X64" s="1287">
        <f t="shared" ref="X64:X68" si="44">ROUND(AX64/AF64*100,1)</f>
        <v>0</v>
      </c>
      <c r="Y64" s="1287">
        <f t="shared" ref="Y64:Y68" si="45">ROUND(AY64/AF64*100,1)</f>
        <v>4.5999999999999996</v>
      </c>
      <c r="Z64" s="1287">
        <f t="shared" ref="Z64:Z68" si="46">ROUND(AZ64/AF64*100,1)</f>
        <v>1.3</v>
      </c>
      <c r="AA64" s="1287">
        <f t="shared" ref="AA64:AA68" si="47">ROUND((BA64+BB64+BC64)/AF64*100,1)</f>
        <v>1</v>
      </c>
      <c r="AB64" s="1287">
        <f t="shared" ref="AB64:AB68" si="48">ROUND(BD64/AF64*100,1)</f>
        <v>0</v>
      </c>
      <c r="AC64" s="1287">
        <f t="shared" ref="AC64:AC68" si="49">ROUND((BE64+BF64+BG64)/AF64*100,1)</f>
        <v>22.7</v>
      </c>
      <c r="AD64" s="1287">
        <f t="shared" ref="AD64:AD68" si="50">ROUND(100-SUM(N64:AC64),1)</f>
        <v>1.4</v>
      </c>
      <c r="AF64" s="1630">
        <v>477148469311</v>
      </c>
      <c r="AG64" s="1630">
        <v>236827852481</v>
      </c>
      <c r="AH64" s="1630">
        <v>809832</v>
      </c>
      <c r="AI64" s="1630">
        <v>2886004332</v>
      </c>
      <c r="AJ64" s="1630">
        <v>0</v>
      </c>
      <c r="AK64" s="1630">
        <v>31373413219</v>
      </c>
      <c r="AL64" s="1630">
        <v>482560300</v>
      </c>
      <c r="AM64" s="1630">
        <v>29181957</v>
      </c>
      <c r="AN64" s="1630">
        <v>1137691</v>
      </c>
      <c r="AO64" s="1630">
        <v>1431303486</v>
      </c>
      <c r="AP64" s="1630">
        <v>265470000</v>
      </c>
      <c r="AQ64" s="1630">
        <v>0</v>
      </c>
      <c r="AR64" s="1630">
        <v>392821566</v>
      </c>
      <c r="AS64" s="1630">
        <v>55800418448</v>
      </c>
      <c r="AT64" s="1630">
        <v>204570590</v>
      </c>
      <c r="AU64" s="1630">
        <v>0</v>
      </c>
      <c r="AV64" s="1630">
        <v>0</v>
      </c>
      <c r="AW64" s="1630">
        <v>0</v>
      </c>
      <c r="AX64" s="1630">
        <v>0</v>
      </c>
      <c r="AY64" s="1630">
        <v>21735587811</v>
      </c>
      <c r="AZ64" s="1630">
        <v>6060874653</v>
      </c>
      <c r="BA64" s="1630">
        <v>469796812</v>
      </c>
      <c r="BB64" s="1630">
        <v>4266115676</v>
      </c>
      <c r="BC64" s="1630">
        <v>3920005</v>
      </c>
      <c r="BD64" s="1630">
        <v>0</v>
      </c>
      <c r="BE64" s="1630">
        <v>10712181061</v>
      </c>
      <c r="BF64" s="1630">
        <v>97451776725</v>
      </c>
      <c r="BG64" s="1630">
        <v>53809</v>
      </c>
    </row>
    <row r="65" spans="1:59" ht="20.100000000000001" customHeight="1">
      <c r="J65" s="452"/>
      <c r="M65" s="460">
        <f>M59</f>
        <v>30</v>
      </c>
      <c r="N65" s="1287">
        <f t="shared" si="34"/>
        <v>55.2</v>
      </c>
      <c r="O65" s="1287">
        <f t="shared" si="35"/>
        <v>0.3</v>
      </c>
      <c r="P65" s="1287">
        <f t="shared" si="36"/>
        <v>7.5</v>
      </c>
      <c r="Q65" s="1287">
        <f t="shared" si="37"/>
        <v>0</v>
      </c>
      <c r="R65" s="1287">
        <f t="shared" si="38"/>
        <v>0.5</v>
      </c>
      <c r="S65" s="1287">
        <f t="shared" si="39"/>
        <v>0</v>
      </c>
      <c r="T65" s="1287">
        <f t="shared" si="40"/>
        <v>0</v>
      </c>
      <c r="U65" s="1287">
        <f t="shared" si="41"/>
        <v>21.6</v>
      </c>
      <c r="V65" s="1287">
        <f t="shared" si="42"/>
        <v>7</v>
      </c>
      <c r="W65" s="1287">
        <f t="shared" si="43"/>
        <v>2.5</v>
      </c>
      <c r="X65" s="1287">
        <f t="shared" si="44"/>
        <v>0</v>
      </c>
      <c r="Y65" s="1287">
        <f t="shared" si="45"/>
        <v>0</v>
      </c>
      <c r="Z65" s="1287">
        <f t="shared" si="46"/>
        <v>1.2</v>
      </c>
      <c r="AA65" s="1287">
        <f t="shared" si="47"/>
        <v>1.1000000000000001</v>
      </c>
      <c r="AB65" s="1287">
        <f t="shared" si="48"/>
        <v>0</v>
      </c>
      <c r="AC65" s="1287">
        <f t="shared" si="49"/>
        <v>0</v>
      </c>
      <c r="AD65" s="1287">
        <f t="shared" si="50"/>
        <v>3.1</v>
      </c>
      <c r="AF65" s="1630">
        <v>420834646368</v>
      </c>
      <c r="AG65" s="1630">
        <v>232336664193</v>
      </c>
      <c r="AH65" s="1630">
        <v>3263262</v>
      </c>
      <c r="AI65" s="1630">
        <v>1072107563</v>
      </c>
      <c r="AJ65" s="1630">
        <v>0</v>
      </c>
      <c r="AK65" s="1630">
        <v>31423237670</v>
      </c>
      <c r="AL65" s="1630">
        <v>197870625</v>
      </c>
      <c r="AM65" s="1630">
        <v>29004336</v>
      </c>
      <c r="AN65" s="1630">
        <v>607427</v>
      </c>
      <c r="AO65" s="1630">
        <v>1348168336</v>
      </c>
      <c r="AP65" s="1630">
        <v>254840000</v>
      </c>
      <c r="AQ65" s="1630">
        <v>0</v>
      </c>
      <c r="AR65" s="1630">
        <v>400461881</v>
      </c>
      <c r="AS65" s="1630">
        <v>0</v>
      </c>
      <c r="AT65" s="1630">
        <v>0</v>
      </c>
      <c r="AU65" s="1630">
        <v>90849252744</v>
      </c>
      <c r="AV65" s="1630">
        <v>29482576151</v>
      </c>
      <c r="AW65" s="1630">
        <v>10524317620</v>
      </c>
      <c r="AX65" s="1630">
        <v>0</v>
      </c>
      <c r="AY65" s="1630">
        <v>0</v>
      </c>
      <c r="AZ65" s="1630">
        <v>5151355380</v>
      </c>
      <c r="BA65" s="1630">
        <v>457651597</v>
      </c>
      <c r="BB65" s="1630">
        <v>4233492977</v>
      </c>
      <c r="BC65" s="1630">
        <v>4433116</v>
      </c>
      <c r="BD65" s="1630">
        <v>0</v>
      </c>
      <c r="BE65" s="1630">
        <v>0</v>
      </c>
      <c r="BF65" s="1630">
        <v>0</v>
      </c>
      <c r="BG65" s="1630">
        <v>0</v>
      </c>
    </row>
    <row r="66" spans="1:59" ht="20.100000000000001" customHeight="1">
      <c r="J66" s="452"/>
      <c r="M66" s="460" t="str">
        <f>M60</f>
        <v>元</v>
      </c>
      <c r="N66" s="1287">
        <f t="shared" si="34"/>
        <v>56.3</v>
      </c>
      <c r="O66" s="1287">
        <f t="shared" si="35"/>
        <v>0</v>
      </c>
      <c r="P66" s="1287">
        <f t="shared" si="36"/>
        <v>7.8</v>
      </c>
      <c r="Q66" s="1287">
        <f t="shared" si="37"/>
        <v>0</v>
      </c>
      <c r="R66" s="1287">
        <f t="shared" si="38"/>
        <v>0.5</v>
      </c>
      <c r="S66" s="1287">
        <f t="shared" si="39"/>
        <v>0</v>
      </c>
      <c r="T66" s="1287">
        <f t="shared" si="40"/>
        <v>0</v>
      </c>
      <c r="U66" s="1287">
        <f t="shared" si="41"/>
        <v>21.6</v>
      </c>
      <c r="V66" s="1287">
        <f t="shared" si="42"/>
        <v>7.1</v>
      </c>
      <c r="W66" s="1287">
        <f t="shared" si="43"/>
        <v>2.5</v>
      </c>
      <c r="X66" s="1287">
        <f t="shared" si="44"/>
        <v>0</v>
      </c>
      <c r="Y66" s="1287">
        <f t="shared" si="45"/>
        <v>0</v>
      </c>
      <c r="Z66" s="1287">
        <f t="shared" si="46"/>
        <v>1.4</v>
      </c>
      <c r="AA66" s="1287">
        <f t="shared" si="47"/>
        <v>1.1000000000000001</v>
      </c>
      <c r="AB66" s="1287">
        <f t="shared" si="48"/>
        <v>0.7</v>
      </c>
      <c r="AC66" s="1287">
        <f t="shared" si="49"/>
        <v>0</v>
      </c>
      <c r="AD66" s="1287">
        <f t="shared" si="50"/>
        <v>1</v>
      </c>
      <c r="AF66" s="1630">
        <v>409897546887</v>
      </c>
      <c r="AG66" s="1630">
        <v>230831890008</v>
      </c>
      <c r="AH66" s="1630">
        <v>322561</v>
      </c>
      <c r="AI66" s="1630">
        <v>134100971</v>
      </c>
      <c r="AJ66" s="1630">
        <v>0</v>
      </c>
      <c r="AK66" s="1630">
        <v>32034656876</v>
      </c>
      <c r="AL66" s="1630">
        <v>20703745</v>
      </c>
      <c r="AM66" s="1630">
        <v>36217969</v>
      </c>
      <c r="AN66" s="1630">
        <v>85332</v>
      </c>
      <c r="AO66" s="1630">
        <v>1232556635</v>
      </c>
      <c r="AP66" s="1630">
        <v>244520000</v>
      </c>
      <c r="AQ66" s="1630">
        <v>0</v>
      </c>
      <c r="AR66" s="1630">
        <v>405650430</v>
      </c>
      <c r="AS66" s="1630">
        <v>0</v>
      </c>
      <c r="AT66" s="1630">
        <v>0</v>
      </c>
      <c r="AU66" s="1630">
        <v>88661176913</v>
      </c>
      <c r="AV66" s="1630">
        <v>28914168093</v>
      </c>
      <c r="AW66" s="1630">
        <v>10129704673</v>
      </c>
      <c r="AX66" s="1630">
        <v>0</v>
      </c>
      <c r="AY66" s="1630">
        <v>0</v>
      </c>
      <c r="AZ66" s="1630">
        <v>5630843275</v>
      </c>
      <c r="BA66" s="1630">
        <v>515132429</v>
      </c>
      <c r="BB66" s="1630">
        <v>4144494900</v>
      </c>
      <c r="BC66" s="1630">
        <v>4975911</v>
      </c>
      <c r="BD66" s="1630">
        <v>2759061815</v>
      </c>
      <c r="BE66" s="1630">
        <v>0</v>
      </c>
      <c r="BF66" s="1630">
        <v>0</v>
      </c>
      <c r="BG66" s="1630">
        <v>0</v>
      </c>
    </row>
    <row r="67" spans="1:59" ht="20.100000000000001" customHeight="1">
      <c r="J67" s="452"/>
      <c r="M67" s="460">
        <f>M61</f>
        <v>2</v>
      </c>
      <c r="N67" s="1287">
        <f t="shared" si="34"/>
        <v>55.5</v>
      </c>
      <c r="O67" s="1287">
        <f t="shared" si="35"/>
        <v>0</v>
      </c>
      <c r="P67" s="1287">
        <f t="shared" si="36"/>
        <v>8</v>
      </c>
      <c r="Q67" s="1287">
        <f t="shared" si="37"/>
        <v>0</v>
      </c>
      <c r="R67" s="1287">
        <f t="shared" si="38"/>
        <v>0.4</v>
      </c>
      <c r="S67" s="1287">
        <f t="shared" si="39"/>
        <v>0</v>
      </c>
      <c r="T67" s="1287">
        <f t="shared" si="40"/>
        <v>0</v>
      </c>
      <c r="U67" s="1287">
        <f t="shared" si="41"/>
        <v>21.8</v>
      </c>
      <c r="V67" s="1287">
        <f t="shared" si="42"/>
        <v>7.3</v>
      </c>
      <c r="W67" s="1287">
        <f t="shared" si="43"/>
        <v>2.8</v>
      </c>
      <c r="X67" s="1287">
        <f t="shared" si="44"/>
        <v>0</v>
      </c>
      <c r="Y67" s="1287">
        <f t="shared" si="45"/>
        <v>0</v>
      </c>
      <c r="Z67" s="1287">
        <f t="shared" si="46"/>
        <v>1.4</v>
      </c>
      <c r="AA67" s="1287">
        <f t="shared" si="47"/>
        <v>1.1000000000000001</v>
      </c>
      <c r="AB67" s="1287">
        <f t="shared" si="48"/>
        <v>0.7</v>
      </c>
      <c r="AC67" s="1287">
        <f t="shared" si="49"/>
        <v>0</v>
      </c>
      <c r="AD67" s="1287">
        <f t="shared" si="50"/>
        <v>1</v>
      </c>
      <c r="AF67" s="1630">
        <v>395351276775</v>
      </c>
      <c r="AG67" s="1630">
        <v>219340509696</v>
      </c>
      <c r="AH67" s="1630">
        <v>1834413</v>
      </c>
      <c r="AI67" s="1630">
        <v>1759379</v>
      </c>
      <c r="AJ67" s="1630">
        <v>0</v>
      </c>
      <c r="AK67" s="1630">
        <v>31741223995</v>
      </c>
      <c r="AL67" s="1630">
        <v>145569</v>
      </c>
      <c r="AM67" s="1630">
        <v>37587524</v>
      </c>
      <c r="AN67" s="1630">
        <v>0</v>
      </c>
      <c r="AO67" s="1630">
        <v>1081224744</v>
      </c>
      <c r="AP67" s="1630">
        <v>252100000</v>
      </c>
      <c r="AQ67" s="1630">
        <v>0</v>
      </c>
      <c r="AR67" s="1630">
        <v>417106837</v>
      </c>
      <c r="AS67" s="1630">
        <v>0</v>
      </c>
      <c r="AT67" s="1630">
        <v>0</v>
      </c>
      <c r="AU67" s="1630">
        <v>86346773705</v>
      </c>
      <c r="AV67" s="1630">
        <v>28842703444</v>
      </c>
      <c r="AW67" s="1630">
        <v>10936228793</v>
      </c>
      <c r="AX67" s="1630">
        <v>0</v>
      </c>
      <c r="AY67" s="1630">
        <v>0</v>
      </c>
      <c r="AZ67" s="1630">
        <v>5368819548</v>
      </c>
      <c r="BA67" s="1630">
        <v>565273867</v>
      </c>
      <c r="BB67" s="1630">
        <v>3791688918</v>
      </c>
      <c r="BC67" s="1630">
        <v>5006313</v>
      </c>
      <c r="BD67" s="1630">
        <v>2914628649</v>
      </c>
      <c r="BE67" s="1630">
        <v>0</v>
      </c>
      <c r="BF67" s="1630">
        <v>0</v>
      </c>
      <c r="BG67" s="1630">
        <v>0</v>
      </c>
    </row>
    <row r="68" spans="1:59" ht="20.100000000000001" customHeight="1">
      <c r="J68" s="452"/>
      <c r="M68" s="460">
        <f>M62</f>
        <v>3</v>
      </c>
      <c r="N68" s="1287">
        <f t="shared" si="34"/>
        <v>56.7</v>
      </c>
      <c r="O68" s="1287">
        <f t="shared" si="35"/>
        <v>0</v>
      </c>
      <c r="P68" s="1287">
        <f t="shared" si="36"/>
        <v>8.1</v>
      </c>
      <c r="Q68" s="1287">
        <f t="shared" si="37"/>
        <v>0</v>
      </c>
      <c r="R68" s="1287">
        <f t="shared" si="38"/>
        <v>0.4</v>
      </c>
      <c r="S68" s="1287">
        <f t="shared" si="39"/>
        <v>0</v>
      </c>
      <c r="T68" s="1287">
        <f t="shared" si="40"/>
        <v>0</v>
      </c>
      <c r="U68" s="1287">
        <f t="shared" si="41"/>
        <v>20.3</v>
      </c>
      <c r="V68" s="1287">
        <f t="shared" si="42"/>
        <v>7.1</v>
      </c>
      <c r="W68" s="1287">
        <f t="shared" si="43"/>
        <v>3</v>
      </c>
      <c r="X68" s="1287">
        <f t="shared" si="44"/>
        <v>0</v>
      </c>
      <c r="Y68" s="1287">
        <f t="shared" si="45"/>
        <v>0</v>
      </c>
      <c r="Z68" s="1287">
        <f t="shared" si="46"/>
        <v>1.4</v>
      </c>
      <c r="AA68" s="1287">
        <f t="shared" si="47"/>
        <v>1.1000000000000001</v>
      </c>
      <c r="AB68" s="1287">
        <f t="shared" si="48"/>
        <v>1</v>
      </c>
      <c r="AC68" s="1287">
        <f t="shared" si="49"/>
        <v>0</v>
      </c>
      <c r="AD68" s="1287">
        <f t="shared" si="50"/>
        <v>0.9</v>
      </c>
      <c r="AF68" s="1630">
        <v>409977908513</v>
      </c>
      <c r="AG68" s="1630">
        <v>232255593260</v>
      </c>
      <c r="AH68" s="1630">
        <v>5336250</v>
      </c>
      <c r="AI68" s="1630">
        <v>951716</v>
      </c>
      <c r="AJ68" s="1630">
        <v>0</v>
      </c>
      <c r="AK68" s="1630">
        <v>33277922113</v>
      </c>
      <c r="AL68" s="1630">
        <v>199087</v>
      </c>
      <c r="AM68" s="1630">
        <v>40388606</v>
      </c>
      <c r="AN68" s="1630">
        <v>58297</v>
      </c>
      <c r="AO68" s="1630">
        <v>1023729166</v>
      </c>
      <c r="AP68" s="1630">
        <v>251120000</v>
      </c>
      <c r="AQ68" s="1630">
        <v>0</v>
      </c>
      <c r="AR68" s="1630">
        <v>463428416</v>
      </c>
      <c r="AS68" s="1630">
        <v>0</v>
      </c>
      <c r="AT68" s="1630">
        <v>0</v>
      </c>
      <c r="AU68" s="1630">
        <v>83053718345</v>
      </c>
      <c r="AV68" s="1630">
        <v>29074843534</v>
      </c>
      <c r="AW68" s="1630">
        <v>12201021141</v>
      </c>
      <c r="AX68" s="1630">
        <v>0</v>
      </c>
      <c r="AY68" s="1630">
        <v>0</v>
      </c>
      <c r="AZ68" s="1630">
        <v>5569069583</v>
      </c>
      <c r="BA68" s="1630">
        <v>578073460</v>
      </c>
      <c r="BB68" s="1630">
        <v>3993856444</v>
      </c>
      <c r="BC68" s="1630">
        <v>5165612</v>
      </c>
      <c r="BD68" s="1630">
        <v>3915317350</v>
      </c>
      <c r="BE68" s="1630">
        <v>0</v>
      </c>
      <c r="BF68" s="1630">
        <v>0</v>
      </c>
      <c r="BG68" s="1630">
        <v>0</v>
      </c>
    </row>
    <row r="69" spans="1:59" ht="20.100000000000001" customHeight="1">
      <c r="J69" s="452"/>
      <c r="M69" s="460" t="s">
        <v>164</v>
      </c>
      <c r="N69" s="462" t="s">
        <v>416</v>
      </c>
      <c r="O69" s="462" t="s">
        <v>417</v>
      </c>
      <c r="P69" s="462" t="s">
        <v>188</v>
      </c>
      <c r="Q69" s="461" t="s">
        <v>324</v>
      </c>
      <c r="R69" s="462" t="s">
        <v>418</v>
      </c>
      <c r="S69" s="461" t="s">
        <v>419</v>
      </c>
      <c r="T69" s="461" t="s">
        <v>420</v>
      </c>
      <c r="U69" s="471" t="s">
        <v>421</v>
      </c>
      <c r="V69" s="471" t="s">
        <v>422</v>
      </c>
      <c r="W69" s="471" t="s">
        <v>423</v>
      </c>
      <c r="X69" s="471" t="s">
        <v>318</v>
      </c>
      <c r="Y69" s="462" t="s">
        <v>385</v>
      </c>
      <c r="Z69" s="462" t="s">
        <v>315</v>
      </c>
      <c r="AA69" s="462" t="s">
        <v>428</v>
      </c>
      <c r="AB69" s="461" t="s">
        <v>320</v>
      </c>
      <c r="AC69" s="472" t="s">
        <v>424</v>
      </c>
      <c r="AD69" s="462" t="s">
        <v>425</v>
      </c>
      <c r="AF69" s="1566"/>
      <c r="AG69" s="1566"/>
      <c r="AH69" s="1566"/>
      <c r="AI69" s="1566"/>
      <c r="AJ69" s="1566"/>
      <c r="AK69" s="1566"/>
      <c r="AL69" s="1566"/>
      <c r="AM69" s="1566"/>
      <c r="AN69" s="1566"/>
      <c r="AO69" s="1566"/>
      <c r="AP69" s="1566"/>
      <c r="AQ69" s="1566"/>
      <c r="AR69" s="1566"/>
      <c r="AS69" s="1566"/>
      <c r="AT69" s="1566"/>
      <c r="AU69" s="1566"/>
      <c r="AV69" s="1566"/>
      <c r="AW69" s="1566"/>
      <c r="AX69" s="1566"/>
      <c r="AY69" s="1566"/>
      <c r="AZ69" s="1566"/>
      <c r="BA69" s="1566"/>
      <c r="BB69" s="1566"/>
      <c r="BC69" s="1566"/>
      <c r="BD69" s="1566"/>
      <c r="BE69" s="1566"/>
      <c r="BF69" s="1566"/>
      <c r="BG69" s="1566"/>
    </row>
    <row r="70" spans="1:59" ht="20.100000000000001" customHeight="1">
      <c r="J70" s="452"/>
      <c r="M70" s="460">
        <f>M58</f>
        <v>29</v>
      </c>
      <c r="N70" s="1287">
        <f t="shared" ref="N70:N74" si="51">ROUND((AG70+AH70)/AF70*100,1)</f>
        <v>47.1</v>
      </c>
      <c r="O70" s="464"/>
      <c r="P70" s="1287">
        <f t="shared" ref="P70:P74" si="52">ROUND((AK70+AL70)/AF70*100,1)</f>
        <v>4.5</v>
      </c>
      <c r="Q70" s="1287">
        <f t="shared" ref="Q70:Q74" si="53">ROUND((AM70+AN70)/AF70*100,1)</f>
        <v>0</v>
      </c>
      <c r="R70" s="1287">
        <f t="shared" ref="R70:R74" si="54">ROUND((AO70+AP70+AQ70+AR70)/AF70*100,1)</f>
        <v>2.8</v>
      </c>
      <c r="S70" s="1287">
        <f t="shared" ref="S70:S74" si="55">ROUND(AS70/AF70*100,1)</f>
        <v>19.100000000000001</v>
      </c>
      <c r="T70" s="1287">
        <f t="shared" ref="T70:T74" si="56">ROUND(AT70/AF70*100,1)</f>
        <v>7.5</v>
      </c>
      <c r="U70" s="464"/>
      <c r="V70" s="464"/>
      <c r="W70" s="464"/>
      <c r="X70" s="464"/>
      <c r="Y70" s="1287">
        <f t="shared" ref="Y70:Y74" si="57">ROUND(AY70/AF70*100,1)</f>
        <v>9.3000000000000007</v>
      </c>
      <c r="Z70" s="1287">
        <f t="shared" ref="Z70:Z74" si="58">ROUND(AZ70/AF70*100,1)</f>
        <v>3.4</v>
      </c>
      <c r="AA70" s="1287">
        <f t="shared" ref="AA70:AA74" si="59">ROUND((BA70+BB70+BC70)/AF70*100,1)</f>
        <v>2.4</v>
      </c>
      <c r="AB70" s="464"/>
      <c r="AC70" s="1287">
        <f t="shared" ref="AC70:AC74" si="60">ROUND((BE70+BF70+BG70)/AF70*100,1)</f>
        <v>1.5</v>
      </c>
      <c r="AD70" s="1287">
        <f t="shared" ref="AD70:AD74" si="61">ROUND(100-SUM(N70:AC70),1)</f>
        <v>2.4</v>
      </c>
      <c r="AF70" s="1630">
        <v>385423844534</v>
      </c>
      <c r="AG70" s="1630">
        <v>181548566053</v>
      </c>
      <c r="AH70" s="1630">
        <v>475088</v>
      </c>
      <c r="AI70" s="1631" t="s">
        <v>717</v>
      </c>
      <c r="AJ70" s="1631" t="s">
        <v>717</v>
      </c>
      <c r="AK70" s="1630">
        <v>17437944631</v>
      </c>
      <c r="AL70" s="1630">
        <v>0</v>
      </c>
      <c r="AM70" s="1630">
        <v>287537</v>
      </c>
      <c r="AN70" s="1630">
        <v>0</v>
      </c>
      <c r="AO70" s="1630">
        <v>4546688338</v>
      </c>
      <c r="AP70" s="1630">
        <v>167075000</v>
      </c>
      <c r="AQ70" s="1630">
        <v>0</v>
      </c>
      <c r="AR70" s="1630">
        <v>6019936087</v>
      </c>
      <c r="AS70" s="1630">
        <v>73741305194</v>
      </c>
      <c r="AT70" s="1630">
        <v>29040171630</v>
      </c>
      <c r="AU70" s="1631" t="s">
        <v>717</v>
      </c>
      <c r="AV70" s="1631" t="s">
        <v>717</v>
      </c>
      <c r="AW70" s="1631" t="s">
        <v>717</v>
      </c>
      <c r="AX70" s="1631" t="s">
        <v>717</v>
      </c>
      <c r="AY70" s="1630">
        <v>35821754116</v>
      </c>
      <c r="AZ70" s="1630">
        <v>13153155098</v>
      </c>
      <c r="BA70" s="1630">
        <v>6932588689</v>
      </c>
      <c r="BB70" s="1630">
        <v>1842298353</v>
      </c>
      <c r="BC70" s="1630">
        <v>290036874</v>
      </c>
      <c r="BD70" s="1631" t="s">
        <v>717</v>
      </c>
      <c r="BE70" s="1630">
        <v>5964293000</v>
      </c>
      <c r="BF70" s="1630">
        <v>0</v>
      </c>
      <c r="BG70" s="1630">
        <v>1951000</v>
      </c>
    </row>
    <row r="71" spans="1:59" ht="20.100000000000001" customHeight="1">
      <c r="J71" s="452"/>
      <c r="M71" s="460">
        <f>M59</f>
        <v>30</v>
      </c>
      <c r="N71" s="1287">
        <f t="shared" si="51"/>
        <v>46.5</v>
      </c>
      <c r="O71" s="464"/>
      <c r="P71" s="1287">
        <f t="shared" si="52"/>
        <v>4.5</v>
      </c>
      <c r="Q71" s="1287">
        <f t="shared" si="53"/>
        <v>0</v>
      </c>
      <c r="R71" s="1287">
        <f t="shared" si="54"/>
        <v>2.8</v>
      </c>
      <c r="S71" s="1287">
        <f t="shared" si="55"/>
        <v>19.5</v>
      </c>
      <c r="T71" s="1287">
        <f t="shared" si="56"/>
        <v>7.6</v>
      </c>
      <c r="U71" s="464"/>
      <c r="V71" s="464"/>
      <c r="W71" s="464"/>
      <c r="X71" s="464"/>
      <c r="Y71" s="1287">
        <f t="shared" si="57"/>
        <v>9.3000000000000007</v>
      </c>
      <c r="Z71" s="1287">
        <f t="shared" si="58"/>
        <v>3.6</v>
      </c>
      <c r="AA71" s="1287">
        <f t="shared" si="59"/>
        <v>2.2999999999999998</v>
      </c>
      <c r="AB71" s="464"/>
      <c r="AC71" s="1287">
        <f t="shared" si="60"/>
        <v>1.2</v>
      </c>
      <c r="AD71" s="1287">
        <f t="shared" si="61"/>
        <v>2.7</v>
      </c>
      <c r="AF71" s="1630">
        <v>386662426683</v>
      </c>
      <c r="AG71" s="1630">
        <v>179774598932</v>
      </c>
      <c r="AH71" s="1630">
        <v>345033</v>
      </c>
      <c r="AI71" s="1631" t="s">
        <v>717</v>
      </c>
      <c r="AJ71" s="1631" t="s">
        <v>717</v>
      </c>
      <c r="AK71" s="1630">
        <v>17547363527</v>
      </c>
      <c r="AL71" s="1630">
        <v>0</v>
      </c>
      <c r="AM71" s="1630">
        <v>105607</v>
      </c>
      <c r="AN71" s="1630">
        <v>0</v>
      </c>
      <c r="AO71" s="1630">
        <v>4440972739</v>
      </c>
      <c r="AP71" s="1630">
        <v>164720000</v>
      </c>
      <c r="AQ71" s="1630">
        <v>0</v>
      </c>
      <c r="AR71" s="1630">
        <v>6127646844</v>
      </c>
      <c r="AS71" s="1630">
        <v>75571526131</v>
      </c>
      <c r="AT71" s="1630">
        <v>29311611213</v>
      </c>
      <c r="AU71" s="1631" t="s">
        <v>717</v>
      </c>
      <c r="AV71" s="1631" t="s">
        <v>717</v>
      </c>
      <c r="AW71" s="1631" t="s">
        <v>717</v>
      </c>
      <c r="AX71" s="1631" t="s">
        <v>717</v>
      </c>
      <c r="AY71" s="1630">
        <v>35966428167</v>
      </c>
      <c r="AZ71" s="1630">
        <v>13968883455</v>
      </c>
      <c r="BA71" s="1630">
        <v>7088931564</v>
      </c>
      <c r="BB71" s="1630">
        <v>1855573918</v>
      </c>
      <c r="BC71" s="1630">
        <v>0</v>
      </c>
      <c r="BD71" s="1631" t="s">
        <v>717</v>
      </c>
      <c r="BE71" s="1630">
        <v>4759374000</v>
      </c>
      <c r="BF71" s="1630">
        <v>0</v>
      </c>
      <c r="BG71" s="1630">
        <v>0</v>
      </c>
    </row>
    <row r="72" spans="1:59" ht="20.100000000000001" customHeight="1">
      <c r="J72" s="452"/>
      <c r="M72" s="460" t="str">
        <f>M60</f>
        <v>元</v>
      </c>
      <c r="N72" s="1287">
        <f t="shared" si="51"/>
        <v>45.4</v>
      </c>
      <c r="O72" s="464"/>
      <c r="P72" s="1287">
        <f t="shared" si="52"/>
        <v>4.4000000000000004</v>
      </c>
      <c r="Q72" s="1287">
        <f t="shared" si="53"/>
        <v>0</v>
      </c>
      <c r="R72" s="1287">
        <f t="shared" si="54"/>
        <v>2.7</v>
      </c>
      <c r="S72" s="1287">
        <f t="shared" si="55"/>
        <v>20.100000000000001</v>
      </c>
      <c r="T72" s="1287">
        <f t="shared" si="56"/>
        <v>7.7</v>
      </c>
      <c r="U72" s="464"/>
      <c r="V72" s="464"/>
      <c r="W72" s="464"/>
      <c r="X72" s="464"/>
      <c r="Y72" s="1287">
        <f t="shared" si="57"/>
        <v>9.6</v>
      </c>
      <c r="Z72" s="1287">
        <f t="shared" si="58"/>
        <v>4.3</v>
      </c>
      <c r="AA72" s="1287">
        <f t="shared" si="59"/>
        <v>2.2999999999999998</v>
      </c>
      <c r="AB72" s="464"/>
      <c r="AC72" s="1287">
        <f t="shared" si="60"/>
        <v>1.3</v>
      </c>
      <c r="AD72" s="1287">
        <f t="shared" si="61"/>
        <v>2.2000000000000002</v>
      </c>
      <c r="AF72" s="1630">
        <v>400611688541</v>
      </c>
      <c r="AG72" s="1630">
        <v>181925903570</v>
      </c>
      <c r="AH72" s="1630">
        <v>433953</v>
      </c>
      <c r="AI72" s="1631" t="s">
        <v>717</v>
      </c>
      <c r="AJ72" s="1631" t="s">
        <v>717</v>
      </c>
      <c r="AK72" s="1630">
        <v>17750092326</v>
      </c>
      <c r="AL72" s="1630">
        <v>0</v>
      </c>
      <c r="AM72" s="1630">
        <v>112967</v>
      </c>
      <c r="AN72" s="1630">
        <v>0</v>
      </c>
      <c r="AO72" s="1630">
        <v>4231843508</v>
      </c>
      <c r="AP72" s="1630">
        <v>159180000</v>
      </c>
      <c r="AQ72" s="1630">
        <v>0</v>
      </c>
      <c r="AR72" s="1630">
        <v>6288387297</v>
      </c>
      <c r="AS72" s="1630">
        <v>80514380522</v>
      </c>
      <c r="AT72" s="1630">
        <v>30770607295</v>
      </c>
      <c r="AU72" s="1631" t="s">
        <v>717</v>
      </c>
      <c r="AV72" s="1631" t="s">
        <v>717</v>
      </c>
      <c r="AW72" s="1631" t="s">
        <v>717</v>
      </c>
      <c r="AX72" s="1631" t="s">
        <v>717</v>
      </c>
      <c r="AY72" s="1630">
        <v>38641260034</v>
      </c>
      <c r="AZ72" s="1630">
        <v>17293644811</v>
      </c>
      <c r="BA72" s="1630">
        <v>7133626222</v>
      </c>
      <c r="BB72" s="1630">
        <v>1889921005</v>
      </c>
      <c r="BC72" s="1630">
        <v>0</v>
      </c>
      <c r="BD72" s="1631" t="s">
        <v>717</v>
      </c>
      <c r="BE72" s="1630">
        <v>5184765000</v>
      </c>
      <c r="BF72" s="1630">
        <v>0</v>
      </c>
      <c r="BG72" s="1630">
        <v>0</v>
      </c>
    </row>
    <row r="73" spans="1:59" ht="20.100000000000001" customHeight="1">
      <c r="J73" s="452"/>
      <c r="M73" s="460">
        <f>M61</f>
        <v>2</v>
      </c>
      <c r="N73" s="1287">
        <f t="shared" si="51"/>
        <v>44</v>
      </c>
      <c r="O73" s="464"/>
      <c r="P73" s="1287">
        <f t="shared" si="52"/>
        <v>4.5</v>
      </c>
      <c r="Q73" s="1287">
        <f t="shared" si="53"/>
        <v>0</v>
      </c>
      <c r="R73" s="1287">
        <f t="shared" si="54"/>
        <v>2.7</v>
      </c>
      <c r="S73" s="1287">
        <f t="shared" si="55"/>
        <v>20.9</v>
      </c>
      <c r="T73" s="1287">
        <f t="shared" si="56"/>
        <v>8.3000000000000007</v>
      </c>
      <c r="U73" s="464"/>
      <c r="V73" s="464"/>
      <c r="W73" s="464"/>
      <c r="X73" s="464"/>
      <c r="Y73" s="1287">
        <f t="shared" si="57"/>
        <v>10.4</v>
      </c>
      <c r="Z73" s="1287">
        <f t="shared" si="58"/>
        <v>3.6</v>
      </c>
      <c r="AA73" s="1287">
        <f t="shared" si="59"/>
        <v>2.2000000000000002</v>
      </c>
      <c r="AB73" s="464"/>
      <c r="AC73" s="1287">
        <f t="shared" si="60"/>
        <v>1.4</v>
      </c>
      <c r="AD73" s="1287">
        <f t="shared" si="61"/>
        <v>2</v>
      </c>
      <c r="AF73" s="1630">
        <v>392508257000</v>
      </c>
      <c r="AG73" s="1630">
        <v>172534669415</v>
      </c>
      <c r="AH73" s="1630">
        <v>118842</v>
      </c>
      <c r="AI73" s="1631" t="s">
        <v>717</v>
      </c>
      <c r="AJ73" s="1631" t="s">
        <v>717</v>
      </c>
      <c r="AK73" s="1630">
        <v>17591187846</v>
      </c>
      <c r="AL73" s="1630">
        <v>0</v>
      </c>
      <c r="AM73" s="1630">
        <v>293380</v>
      </c>
      <c r="AN73" s="1630">
        <v>0</v>
      </c>
      <c r="AO73" s="1630">
        <v>4010804317</v>
      </c>
      <c r="AP73" s="1630">
        <v>158030000</v>
      </c>
      <c r="AQ73" s="1630">
        <v>0</v>
      </c>
      <c r="AR73" s="1630">
        <v>6354610927</v>
      </c>
      <c r="AS73" s="1630">
        <v>82116245001</v>
      </c>
      <c r="AT73" s="1630">
        <v>32455023816</v>
      </c>
      <c r="AU73" s="1631" t="s">
        <v>717</v>
      </c>
      <c r="AV73" s="1631" t="s">
        <v>717</v>
      </c>
      <c r="AW73" s="1631" t="s">
        <v>717</v>
      </c>
      <c r="AX73" s="1631" t="s">
        <v>717</v>
      </c>
      <c r="AY73" s="1630">
        <v>40674882458</v>
      </c>
      <c r="AZ73" s="1630">
        <v>14074201181</v>
      </c>
      <c r="BA73" s="1630">
        <v>6712931974</v>
      </c>
      <c r="BB73" s="1630">
        <v>1781879964</v>
      </c>
      <c r="BC73" s="1630">
        <v>0</v>
      </c>
      <c r="BD73" s="1631" t="s">
        <v>717</v>
      </c>
      <c r="BE73" s="1630">
        <v>5630928000</v>
      </c>
      <c r="BF73" s="1630">
        <v>0</v>
      </c>
      <c r="BG73" s="1630">
        <v>0</v>
      </c>
    </row>
    <row r="74" spans="1:59" ht="20.100000000000001" customHeight="1">
      <c r="M74" s="460">
        <f>M62</f>
        <v>3</v>
      </c>
      <c r="N74" s="1287">
        <f t="shared" si="51"/>
        <v>45.2</v>
      </c>
      <c r="O74" s="464"/>
      <c r="P74" s="1287">
        <f t="shared" si="52"/>
        <v>4.5999999999999996</v>
      </c>
      <c r="Q74" s="1287">
        <f t="shared" si="53"/>
        <v>0</v>
      </c>
      <c r="R74" s="1287">
        <f t="shared" si="54"/>
        <v>2.7</v>
      </c>
      <c r="S74" s="1287">
        <f t="shared" si="55"/>
        <v>20.100000000000001</v>
      </c>
      <c r="T74" s="1287">
        <f t="shared" si="56"/>
        <v>8.1999999999999993</v>
      </c>
      <c r="U74" s="464"/>
      <c r="V74" s="464"/>
      <c r="W74" s="464"/>
      <c r="X74" s="464"/>
      <c r="Y74" s="1287">
        <f t="shared" si="57"/>
        <v>10.1</v>
      </c>
      <c r="Z74" s="1287">
        <f t="shared" si="58"/>
        <v>3.6</v>
      </c>
      <c r="AA74" s="1287">
        <f t="shared" si="59"/>
        <v>2.2000000000000002</v>
      </c>
      <c r="AB74" s="464"/>
      <c r="AC74" s="1287">
        <f t="shared" si="60"/>
        <v>1.4</v>
      </c>
      <c r="AD74" s="1287">
        <f t="shared" si="61"/>
        <v>1.9</v>
      </c>
      <c r="AF74" s="1630">
        <v>412270752689</v>
      </c>
      <c r="AG74" s="1630">
        <v>186456570824</v>
      </c>
      <c r="AH74" s="1630">
        <v>260990</v>
      </c>
      <c r="AI74" s="1631" t="s">
        <v>717</v>
      </c>
      <c r="AJ74" s="1631" t="s">
        <v>717</v>
      </c>
      <c r="AK74" s="1630">
        <v>18774974733</v>
      </c>
      <c r="AL74" s="1630">
        <v>0</v>
      </c>
      <c r="AM74" s="1630">
        <v>213819</v>
      </c>
      <c r="AN74" s="1630">
        <v>0</v>
      </c>
      <c r="AO74" s="1630">
        <v>4023812229</v>
      </c>
      <c r="AP74" s="1630">
        <v>152070000</v>
      </c>
      <c r="AQ74" s="1630">
        <v>0</v>
      </c>
      <c r="AR74" s="1630">
        <v>6764094623</v>
      </c>
      <c r="AS74" s="1630">
        <v>82884070236</v>
      </c>
      <c r="AT74" s="1630">
        <v>33703752395</v>
      </c>
      <c r="AU74" s="1631" t="s">
        <v>717</v>
      </c>
      <c r="AV74" s="1631" t="s">
        <v>717</v>
      </c>
      <c r="AW74" s="1631" t="s">
        <v>717</v>
      </c>
      <c r="AX74" s="1631" t="s">
        <v>717</v>
      </c>
      <c r="AY74" s="1630">
        <v>41522458491</v>
      </c>
      <c r="AZ74" s="1630">
        <v>14945189985</v>
      </c>
      <c r="BA74" s="1630">
        <v>7217776262</v>
      </c>
      <c r="BB74" s="1630">
        <v>2027444508</v>
      </c>
      <c r="BC74" s="1630">
        <v>0</v>
      </c>
      <c r="BD74" s="1631" t="s">
        <v>717</v>
      </c>
      <c r="BE74" s="1630">
        <v>5739471000</v>
      </c>
      <c r="BF74" s="1630">
        <v>0</v>
      </c>
      <c r="BG74" s="1630">
        <v>0</v>
      </c>
    </row>
    <row r="75" spans="1:59" ht="20.100000000000001" customHeight="1">
      <c r="A75" s="244"/>
    </row>
    <row r="76" spans="1:59" ht="20.100000000000001" customHeight="1">
      <c r="A76" s="244"/>
      <c r="M76" s="451" t="s">
        <v>235</v>
      </c>
    </row>
    <row r="77" spans="1:59" ht="20.100000000000001" customHeight="1">
      <c r="M77" s="451" t="s">
        <v>138</v>
      </c>
      <c r="N77" s="264" t="s">
        <v>242</v>
      </c>
      <c r="O77" s="465" t="str">
        <f>"{"&amp;""""&amp;M58&amp;""""&amp;","&amp;""""&amp;M59&amp;""""&amp;","&amp;""""&amp;M60&amp;""""&amp;","&amp;""""&amp;M61&amp;""""&amp;","&amp;""""&amp;M62&amp;""""&amp;"}"</f>
        <v>{"29","30","元","2","3"}</v>
      </c>
    </row>
    <row r="78" spans="1:59" ht="20.100000000000001" customHeight="1">
      <c r="N78" s="264" t="str">
        <f t="shared" ref="N78:U78" si="62">N57</f>
        <v>一般療養諸費</v>
      </c>
      <c r="O78" s="264" t="str">
        <f t="shared" si="62"/>
        <v>退職療養諸費</v>
      </c>
      <c r="P78" s="264" t="str">
        <f t="shared" si="62"/>
        <v>高額療養費</v>
      </c>
      <c r="Q78" s="264" t="str">
        <f t="shared" si="62"/>
        <v>高額介護合算療養費</v>
      </c>
      <c r="R78" s="264" t="str">
        <f t="shared" si="62"/>
        <v>その他給付</v>
      </c>
      <c r="S78" s="264" t="str">
        <f t="shared" si="62"/>
        <v>後期高齢者支援金</v>
      </c>
      <c r="T78" s="264" t="str">
        <f t="shared" si="62"/>
        <v>前期高齢者納付金</v>
      </c>
      <c r="U78" s="264" t="str">
        <f t="shared" si="62"/>
        <v>国民健康保険事業費納付金—医療給付分</v>
      </c>
      <c r="V78" s="264" t="str">
        <f>V57</f>
        <v>国民健康保険事業費納付金—後期高齢者分</v>
      </c>
      <c r="W78" s="264" t="str">
        <f>W57</f>
        <v>国民健康保険事業費納付金—介護納付金分</v>
      </c>
      <c r="X78" s="264" t="str">
        <f t="shared" ref="X78:AD78" si="63">X57</f>
        <v>財政安定化支援事業拠出金</v>
      </c>
      <c r="Y78" s="264" t="str">
        <f t="shared" si="63"/>
        <v>介護納付金</v>
      </c>
      <c r="Z78" s="264" t="str">
        <f t="shared" si="63"/>
        <v>総務費</v>
      </c>
      <c r="AA78" s="264" t="str">
        <f t="shared" si="63"/>
        <v>保健事業費</v>
      </c>
      <c r="AB78" s="473" t="str">
        <f t="shared" si="63"/>
        <v>保険給付費等交付金償還金</v>
      </c>
      <c r="AC78" s="264" t="str">
        <f t="shared" si="63"/>
        <v>共同事業拠出金</v>
      </c>
      <c r="AD78" s="264" t="str">
        <f t="shared" si="63"/>
        <v>その他支出</v>
      </c>
    </row>
    <row r="79" spans="1:59" ht="20.100000000000001" customHeight="1">
      <c r="N79" s="465" t="str">
        <f t="shared" ref="N79:AD79" si="64">"{"&amp;N58&amp;","&amp;N59&amp;","&amp;N60&amp;","&amp;N61&amp;","&amp;N62&amp;"}"</f>
        <v>{47.5,52.1,53.4,52.6,54.4}</v>
      </c>
      <c r="O79" s="465" t="str">
        <f t="shared" si="64"/>
        <v>{0.5,0.2,0.1,0,0}</v>
      </c>
      <c r="P79" s="465" t="str">
        <f t="shared" si="64"/>
        <v>{6.4,7,7.3,7.5,7.7}</v>
      </c>
      <c r="Q79" s="465" t="str">
        <f t="shared" si="64"/>
        <v>{0,0,0,0,0}</v>
      </c>
      <c r="R79" s="465" t="str">
        <f t="shared" si="64"/>
        <v>{0.5,0.5,0.5,0.5,0.5}</v>
      </c>
      <c r="S79" s="465" t="str">
        <f t="shared" si="64"/>
        <v>{11.9,0,0,0,0}</v>
      </c>
      <c r="T79" s="465" t="str">
        <f t="shared" si="64"/>
        <v>{0,0,0,0,0}</v>
      </c>
      <c r="U79" s="465" t="str">
        <f t="shared" si="64"/>
        <v>{0,24.2,24.2,24.2,22}</v>
      </c>
      <c r="V79" s="465" t="str">
        <f t="shared" si="64"/>
        <v>{0,7.4,7.4,7.7,7.3}</v>
      </c>
      <c r="W79" s="465" t="str">
        <f t="shared" si="64"/>
        <v>{0,2.9,2.9,3.1,3.4}</v>
      </c>
      <c r="X79" s="465" t="str">
        <f t="shared" si="64"/>
        <v>{0,0,0,0,0}</v>
      </c>
      <c r="Y79" s="465" t="str">
        <f t="shared" si="64"/>
        <v>{4.8,0,0,0,0}</v>
      </c>
      <c r="Z79" s="465" t="str">
        <f t="shared" si="64"/>
        <v>{1.7,1.8,1.9,2,2}</v>
      </c>
      <c r="AA79" s="465" t="str">
        <f t="shared" si="64"/>
        <v>{0.8,0.9,0.9,0.8,0.8}</v>
      </c>
      <c r="AB79" s="465" t="str">
        <f t="shared" si="64"/>
        <v>{0,0,0.6,0.6,0.7}</v>
      </c>
      <c r="AC79" s="465" t="str">
        <f t="shared" si="64"/>
        <v>{24.5,0,0,0,0}</v>
      </c>
      <c r="AD79" s="465" t="str">
        <f t="shared" si="64"/>
        <v>{1.4,3,0.8,1,1.2}</v>
      </c>
    </row>
    <row r="80" spans="1:59" ht="20.100000000000001" customHeight="1">
      <c r="M80" s="451" t="s">
        <v>139</v>
      </c>
      <c r="N80" s="264" t="s">
        <v>242</v>
      </c>
      <c r="O80" s="465" t="str">
        <f>"{"&amp;""""&amp;M64&amp;""""&amp;","&amp;""""&amp;M65&amp;""""&amp;","&amp;""""&amp;M66&amp;""""&amp;","&amp;""""&amp;M67&amp;""""&amp;","&amp;""""&amp;M68&amp;""""&amp;"}"</f>
        <v>{"29","30","元","2","3"}</v>
      </c>
    </row>
    <row r="81" spans="1:30" ht="20.100000000000001" customHeight="1">
      <c r="J81" s="466"/>
      <c r="N81" s="264" t="str">
        <f>N63</f>
        <v>一般療養諸費</v>
      </c>
      <c r="O81" s="264" t="str">
        <f t="shared" ref="O81:AA81" si="65">O63</f>
        <v>退職療養諸費</v>
      </c>
      <c r="P81" s="264" t="str">
        <f t="shared" si="65"/>
        <v>高額療養費</v>
      </c>
      <c r="Q81" s="264" t="str">
        <f>Q63</f>
        <v>高額介護合算療養費</v>
      </c>
      <c r="R81" s="264" t="str">
        <f t="shared" si="65"/>
        <v>その他給付</v>
      </c>
      <c r="S81" s="264" t="str">
        <f t="shared" si="65"/>
        <v>後期高齢者支援金</v>
      </c>
      <c r="T81" s="264" t="str">
        <f t="shared" si="65"/>
        <v>前期高齢者納付金</v>
      </c>
      <c r="U81" s="264" t="str">
        <f t="shared" si="65"/>
        <v>国民健康保険事業費納付金—医療給付分</v>
      </c>
      <c r="V81" s="264" t="str">
        <f t="shared" si="65"/>
        <v>国民健康保険事業費納付金—後期高齢者分</v>
      </c>
      <c r="W81" s="264" t="str">
        <f t="shared" si="65"/>
        <v>国民健康保険事業費納付金—介護納付金分</v>
      </c>
      <c r="X81" s="264" t="str">
        <f t="shared" si="65"/>
        <v>財政安定化支援事業拠出金</v>
      </c>
      <c r="Y81" s="264" t="str">
        <f t="shared" si="65"/>
        <v>介護納付金</v>
      </c>
      <c r="Z81" s="264" t="str">
        <f t="shared" si="65"/>
        <v>総務費</v>
      </c>
      <c r="AA81" s="264" t="str">
        <f t="shared" si="65"/>
        <v>保健事業費</v>
      </c>
      <c r="AB81" s="473" t="str">
        <f>AB63</f>
        <v>保険給付費等交付金償還金</v>
      </c>
      <c r="AC81" s="264" t="str">
        <f>AC63</f>
        <v>共同事業拠出金</v>
      </c>
      <c r="AD81" s="264" t="str">
        <f>AD63</f>
        <v>その他支出</v>
      </c>
    </row>
    <row r="82" spans="1:30" ht="20.100000000000001" customHeight="1">
      <c r="B82" s="467"/>
      <c r="N82" s="465" t="str">
        <f t="shared" ref="N82:AD82" si="66">"{"&amp;N64&amp;","&amp;N65&amp;","&amp;N66&amp;","&amp;N67&amp;","&amp;N68&amp;"}"</f>
        <v>{49.6,55.2,56.3,55.5,56.7}</v>
      </c>
      <c r="O82" s="465" t="str">
        <f t="shared" si="66"/>
        <v>{0.6,0.3,0,0,0}</v>
      </c>
      <c r="P82" s="465" t="str">
        <f t="shared" si="66"/>
        <v>{6.7,7.5,7.8,8,8.1}</v>
      </c>
      <c r="Q82" s="465" t="str">
        <f t="shared" si="66"/>
        <v>{0,0,0,0,0}</v>
      </c>
      <c r="R82" s="465" t="str">
        <f t="shared" si="66"/>
        <v>{0.4,0.5,0.5,0.4,0.4}</v>
      </c>
      <c r="S82" s="465" t="str">
        <f t="shared" si="66"/>
        <v>{11.7,0,0,0,0}</v>
      </c>
      <c r="T82" s="465" t="str">
        <f t="shared" si="66"/>
        <v>{0,0,0,0,0}</v>
      </c>
      <c r="U82" s="465" t="str">
        <f t="shared" si="66"/>
        <v>{0,21.6,21.6,21.8,20.3}</v>
      </c>
      <c r="V82" s="465" t="str">
        <f t="shared" si="66"/>
        <v>{0,7,7.1,7.3,7.1}</v>
      </c>
      <c r="W82" s="465" t="str">
        <f t="shared" si="66"/>
        <v>{0,2.5,2.5,2.8,3}</v>
      </c>
      <c r="X82" s="465" t="str">
        <f t="shared" si="66"/>
        <v>{0,0,0,0,0}</v>
      </c>
      <c r="Y82" s="465" t="str">
        <f t="shared" si="66"/>
        <v>{4.6,0,0,0,0}</v>
      </c>
      <c r="Z82" s="465" t="str">
        <f t="shared" si="66"/>
        <v>{1.3,1.2,1.4,1.4,1.4}</v>
      </c>
      <c r="AA82" s="465" t="str">
        <f t="shared" si="66"/>
        <v>{1,1.1,1.1,1.1,1.1}</v>
      </c>
      <c r="AB82" s="465" t="str">
        <f t="shared" si="66"/>
        <v>{0,0,0.7,0.7,1}</v>
      </c>
      <c r="AC82" s="465" t="str">
        <f t="shared" si="66"/>
        <v>{22.7,0,0,0,0}</v>
      </c>
      <c r="AD82" s="465" t="str">
        <f t="shared" si="66"/>
        <v>{1.4,3.1,1,1,0.9}</v>
      </c>
    </row>
    <row r="83" spans="1:30" ht="20.100000000000001" customHeight="1">
      <c r="M83" s="451" t="s">
        <v>155</v>
      </c>
      <c r="N83" s="264" t="s">
        <v>242</v>
      </c>
      <c r="O83" s="465" t="str">
        <f>"{"&amp;""""&amp;M70&amp;""""&amp;","&amp;""""&amp;M71&amp;""""&amp;","&amp;""""&amp;M72&amp;""""&amp;","&amp;""""&amp;M73&amp;""""&amp;","&amp;""""&amp;M74&amp;""""&amp;"}"</f>
        <v>{"29","30","元","2","3"}</v>
      </c>
    </row>
    <row r="84" spans="1:30" ht="20.100000000000001" customHeight="1">
      <c r="N84" s="264" t="str">
        <f>N69</f>
        <v>一般療養諸費</v>
      </c>
      <c r="O84" s="264" t="str">
        <f>P69</f>
        <v>高額療養費</v>
      </c>
      <c r="P84" s="264" t="str">
        <f>Q69</f>
        <v>高額介護合算療養費</v>
      </c>
      <c r="Q84" s="264" t="str">
        <f>R69</f>
        <v>その他給付</v>
      </c>
      <c r="R84" s="264" t="str">
        <f>S69</f>
        <v>後期高齢者支援金</v>
      </c>
      <c r="S84" s="264" t="str">
        <f>T69</f>
        <v>前期高齢者納付金</v>
      </c>
      <c r="T84" s="264" t="str">
        <f>Y69</f>
        <v>介護納付金</v>
      </c>
      <c r="U84" s="264" t="str">
        <f>Z69</f>
        <v>総務費</v>
      </c>
      <c r="V84" s="264" t="str">
        <f>AA69</f>
        <v>保健事業費</v>
      </c>
      <c r="W84" s="264" t="str">
        <f>AC69</f>
        <v>共同事業拠出金</v>
      </c>
      <c r="X84" s="264" t="str">
        <f>AD69</f>
        <v>その他支出</v>
      </c>
    </row>
    <row r="85" spans="1:30" ht="20.100000000000001" customHeight="1">
      <c r="N85" s="465" t="str">
        <f>"{"&amp;N70&amp;","&amp;N71&amp;","&amp;N72&amp;","&amp;N73&amp;","&amp;N74&amp;"}"</f>
        <v>{47.1,46.5,45.4,44,45.2}</v>
      </c>
      <c r="O85" s="465" t="str">
        <f>"{"&amp;P70&amp;","&amp;P71&amp;","&amp;P72&amp;","&amp;P73&amp;","&amp;P74&amp;"}"</f>
        <v>{4.5,4.5,4.4,4.5,4.6}</v>
      </c>
      <c r="P85" s="465" t="str">
        <f>"{"&amp;Q70&amp;","&amp;Q71&amp;","&amp;Q72&amp;","&amp;Q73&amp;","&amp;Q74&amp;"}"</f>
        <v>{0,0,0,0,0}</v>
      </c>
      <c r="Q85" s="465" t="str">
        <f>"{"&amp;R70&amp;","&amp;R71&amp;","&amp;R72&amp;","&amp;R73&amp;","&amp;R74&amp;"}"</f>
        <v>{2.8,2.8,2.7,2.7,2.7}</v>
      </c>
      <c r="R85" s="465" t="str">
        <f>"{"&amp;S70&amp;","&amp;S71&amp;","&amp;S72&amp;","&amp;S73&amp;","&amp;S74&amp;"}"</f>
        <v>{19.1,19.5,20.1,20.9,20.1}</v>
      </c>
      <c r="S85" s="465" t="str">
        <f>"{"&amp;T70&amp;","&amp;T71&amp;","&amp;T72&amp;","&amp;T73&amp;","&amp;T74&amp;"}"</f>
        <v>{7.5,7.6,7.7,8.3,8.2}</v>
      </c>
      <c r="T85" s="465" t="str">
        <f>"{"&amp;Y70&amp;","&amp;Y71&amp;","&amp;Y72&amp;","&amp;Y73&amp;","&amp;Y74&amp;"}"</f>
        <v>{9.3,9.3,9.6,10.4,10.1}</v>
      </c>
      <c r="U85" s="465" t="str">
        <f>"{"&amp;Z70&amp;","&amp;Z71&amp;","&amp;Z72&amp;","&amp;Z73&amp;","&amp;Z74&amp;"}"</f>
        <v>{3.4,3.6,4.3,3.6,3.6}</v>
      </c>
      <c r="V85" s="465" t="str">
        <f>"{"&amp;AA70&amp;","&amp;AA71&amp;","&amp;AA72&amp;","&amp;AA73&amp;","&amp;AA74&amp;"}"</f>
        <v>{2.4,2.3,2.3,2.2,2.2}</v>
      </c>
      <c r="W85" s="465" t="str">
        <f>"{"&amp;AC70&amp;","&amp;AC71&amp;","&amp;AC72&amp;","&amp;AC73&amp;","&amp;AC74&amp;"}"</f>
        <v>{1.5,1.2,1.3,1.4,1.4}</v>
      </c>
      <c r="X85" s="465" t="str">
        <f>"{"&amp;AD70&amp;","&amp;AD71&amp;","&amp;AD72&amp;","&amp;AD73&amp;","&amp;AD74&amp;"}"</f>
        <v>{2.4,2.7,2.2,2,1.9}</v>
      </c>
    </row>
    <row r="86" spans="1:30" ht="20.100000000000001" customHeight="1">
      <c r="A86" s="244"/>
      <c r="J86" s="466"/>
    </row>
    <row r="87" spans="1:30" ht="20.100000000000001" customHeight="1">
      <c r="J87" s="452"/>
      <c r="M87" s="474" t="s">
        <v>409</v>
      </c>
    </row>
    <row r="88" spans="1:30" ht="20.100000000000001" customHeight="1">
      <c r="M88" s="474" t="str">
        <f>IF(情報!H51=TRUE,"注　"&amp;情報!$B$2&amp;"年度の制度改正により、一部項目は経年比較ができない。","")</f>
        <v/>
      </c>
    </row>
    <row r="89" spans="1:30" ht="20.100000000000001" customHeight="1"/>
    <row r="90" spans="1:30" ht="20.100000000000001" customHeight="1"/>
    <row r="91" spans="1:30" ht="20.25" customHeight="1">
      <c r="C91" s="926" t="s">
        <v>561</v>
      </c>
      <c r="D91" s="475"/>
      <c r="E91" s="475"/>
      <c r="F91" s="475"/>
      <c r="G91" s="475"/>
      <c r="H91" s="475"/>
      <c r="I91" s="475"/>
      <c r="J91" s="475"/>
    </row>
    <row r="92" spans="1:30" ht="20.25" customHeight="1"/>
  </sheetData>
  <mergeCells count="52">
    <mergeCell ref="C40:J40"/>
    <mergeCell ref="AG3:AG6"/>
    <mergeCell ref="AH3:AH6"/>
    <mergeCell ref="AK3:AK6"/>
    <mergeCell ref="AL3:AL6"/>
    <mergeCell ref="AB3:AB6"/>
    <mergeCell ref="AC3:AC6"/>
    <mergeCell ref="AD3:AD6"/>
    <mergeCell ref="AE3:AE6"/>
    <mergeCell ref="AF3:AF6"/>
    <mergeCell ref="W3:W6"/>
    <mergeCell ref="X3:X6"/>
    <mergeCell ref="Y3:Y6"/>
    <mergeCell ref="Z3:Z6"/>
    <mergeCell ref="AA3:AA6"/>
    <mergeCell ref="AP3:AP6"/>
    <mergeCell ref="AN3:AN6"/>
    <mergeCell ref="AO3:AO6"/>
    <mergeCell ref="AI3:AI6"/>
    <mergeCell ref="AJ3:AJ6"/>
    <mergeCell ref="AM3:AM6"/>
    <mergeCell ref="AQ3:AQ6"/>
    <mergeCell ref="AR3:AR6"/>
    <mergeCell ref="AS3:AS6"/>
    <mergeCell ref="AF52:AF55"/>
    <mergeCell ref="AG52:AG55"/>
    <mergeCell ref="AH52:AH55"/>
    <mergeCell ref="AI52:AI55"/>
    <mergeCell ref="AJ52:AJ55"/>
    <mergeCell ref="AK52:AK55"/>
    <mergeCell ref="AL52:AL55"/>
    <mergeCell ref="AM52:AM55"/>
    <mergeCell ref="AN52:AN55"/>
    <mergeCell ref="AO52:AO55"/>
    <mergeCell ref="AP52:AP55"/>
    <mergeCell ref="AQ52:AQ55"/>
    <mergeCell ref="AR52:AR55"/>
    <mergeCell ref="AS52:AS55"/>
    <mergeCell ref="AT52:AT55"/>
    <mergeCell ref="AU52:AU55"/>
    <mergeCell ref="AV52:AV55"/>
    <mergeCell ref="AW52:AW55"/>
    <mergeCell ref="AX52:AX55"/>
    <mergeCell ref="AY52:AY55"/>
    <mergeCell ref="AZ52:AZ55"/>
    <mergeCell ref="BA52:BA55"/>
    <mergeCell ref="BG52:BG55"/>
    <mergeCell ref="BB52:BB55"/>
    <mergeCell ref="BC52:BC55"/>
    <mergeCell ref="BD52:BD55"/>
    <mergeCell ref="BE52:BE55"/>
    <mergeCell ref="BF52:BF55"/>
  </mergeCells>
  <phoneticPr fontId="27"/>
  <printOptions gridLinesSet="0"/>
  <pageMargins left="0.98425196850393704" right="0.78740157480314965" top="0.78740157480314965" bottom="0.59055118110236227" header="0" footer="0.39370078740157483"/>
  <pageSetup paperSize="9" scale="88" firstPageNumber="19" fitToHeight="2" orientation="portrait" cellComments="asDisplayed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V48"/>
  <sheetViews>
    <sheetView showGridLines="0" view="pageBreakPreview" zoomScaleNormal="100" zoomScaleSheetLayoutView="100" workbookViewId="0"/>
  </sheetViews>
  <sheetFormatPr defaultColWidth="9" defaultRowHeight="12"/>
  <cols>
    <col min="1" max="1" width="1" style="21" customWidth="1" collapsed="1"/>
    <col min="2" max="2" width="1.6640625" style="21" customWidth="1" collapsed="1"/>
    <col min="3" max="3" width="1.88671875" style="20" customWidth="1" collapsed="1"/>
    <col min="4" max="8" width="1.44140625" style="20" customWidth="1" collapsed="1"/>
    <col min="9" max="11" width="5.6640625" style="21" customWidth="1" collapsed="1"/>
    <col min="12" max="12" width="6.21875" style="1" customWidth="1" collapsed="1"/>
    <col min="13" max="15" width="5.6640625" style="1" customWidth="1" collapsed="1"/>
    <col min="16" max="16" width="6.21875" style="1" customWidth="1" collapsed="1"/>
    <col min="17" max="19" width="5.6640625" style="1" customWidth="1" collapsed="1"/>
    <col min="20" max="20" width="6.21875" style="1" customWidth="1" collapsed="1"/>
    <col min="21" max="22" width="6.88671875" style="1" customWidth="1" collapsed="1"/>
    <col min="23" max="16384" width="9" style="1" collapsed="1"/>
  </cols>
  <sheetData>
    <row r="1" spans="1:22" ht="20.399999999999999" customHeight="1">
      <c r="A1" s="19" t="s">
        <v>547</v>
      </c>
    </row>
    <row r="2" spans="1:22" ht="12.9" customHeight="1"/>
    <row r="3" spans="1:22" ht="13.2">
      <c r="A3" s="768" t="s">
        <v>546</v>
      </c>
      <c r="B3" s="47"/>
      <c r="C3" s="47"/>
      <c r="D3" s="47"/>
      <c r="E3" s="47"/>
      <c r="F3" s="47"/>
      <c r="G3" s="47"/>
      <c r="H3" s="47"/>
      <c r="M3" s="23"/>
    </row>
    <row r="4" spans="1:22" ht="16.95" customHeight="1">
      <c r="A4" s="768"/>
      <c r="B4" s="47"/>
      <c r="C4" s="1200" t="str">
        <f>DBCS(情報!$D$2&amp;"の公営保険者の賦課方式等は表６、表７のとおりである。")</f>
        <v>令和３年度の公営保険者の賦課方式等は表６、表７のとおりである。</v>
      </c>
      <c r="D4" s="772"/>
      <c r="E4" s="772"/>
      <c r="F4" s="772"/>
      <c r="G4" s="772"/>
      <c r="H4" s="772"/>
      <c r="I4" s="760"/>
      <c r="J4" s="760"/>
      <c r="K4" s="760"/>
      <c r="L4" s="665"/>
      <c r="M4" s="1201"/>
      <c r="N4" s="665"/>
      <c r="O4" s="665"/>
      <c r="P4" s="665"/>
      <c r="Q4" s="665"/>
      <c r="R4" s="665"/>
      <c r="S4" s="665"/>
      <c r="T4" s="665"/>
      <c r="U4" s="665"/>
      <c r="V4" s="665"/>
    </row>
    <row r="5" spans="1:22" ht="8.4" customHeight="1">
      <c r="D5" s="814"/>
      <c r="E5" s="814"/>
      <c r="F5" s="814"/>
      <c r="G5" s="814"/>
      <c r="H5" s="814"/>
      <c r="M5" s="23"/>
    </row>
    <row r="6" spans="1:22" ht="23.25" customHeight="1">
      <c r="B6" s="22" t="s">
        <v>544</v>
      </c>
      <c r="C6" s="815"/>
      <c r="D6" s="493"/>
      <c r="E6" s="493"/>
      <c r="F6" s="493"/>
      <c r="G6" s="493"/>
      <c r="H6" s="493"/>
      <c r="J6" s="45"/>
      <c r="K6" s="45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23.25" customHeight="1">
      <c r="C7" s="21"/>
      <c r="D7" s="1847" t="s">
        <v>108</v>
      </c>
      <c r="E7" s="1847"/>
      <c r="F7" s="1847"/>
      <c r="G7" s="1847"/>
      <c r="H7" s="1847"/>
      <c r="I7" s="1847"/>
      <c r="J7" s="1847"/>
      <c r="K7" s="1847"/>
      <c r="L7" s="1847" t="s">
        <v>109</v>
      </c>
      <c r="M7" s="1847"/>
      <c r="N7" s="1847"/>
      <c r="O7" s="1848" t="s">
        <v>110</v>
      </c>
      <c r="P7" s="1848"/>
      <c r="Q7" s="1848"/>
      <c r="R7" s="1847" t="s">
        <v>111</v>
      </c>
      <c r="S7" s="1847"/>
      <c r="T7" s="1847"/>
      <c r="U7" s="1849" t="s">
        <v>112</v>
      </c>
      <c r="V7" s="1849"/>
    </row>
    <row r="8" spans="1:22" ht="23.25" customHeight="1">
      <c r="D8" s="1847"/>
      <c r="E8" s="1847"/>
      <c r="F8" s="1847"/>
      <c r="G8" s="1847"/>
      <c r="H8" s="1847"/>
      <c r="I8" s="1847"/>
      <c r="J8" s="1847"/>
      <c r="K8" s="1847"/>
      <c r="L8" s="1850" t="s">
        <v>577</v>
      </c>
      <c r="M8" s="1850"/>
      <c r="N8" s="1850"/>
      <c r="O8" s="1851" t="s">
        <v>578</v>
      </c>
      <c r="P8" s="1851"/>
      <c r="Q8" s="1851"/>
      <c r="R8" s="1850" t="s">
        <v>579</v>
      </c>
      <c r="S8" s="1850"/>
      <c r="T8" s="1850"/>
      <c r="U8" s="1661" t="s">
        <v>113</v>
      </c>
      <c r="V8" s="1662" t="s">
        <v>114</v>
      </c>
    </row>
    <row r="9" spans="1:22" ht="23.25" customHeight="1">
      <c r="D9" s="1852" t="s">
        <v>143</v>
      </c>
      <c r="E9" s="1852"/>
      <c r="F9" s="1852"/>
      <c r="G9" s="1852"/>
      <c r="H9" s="1852"/>
      <c r="I9" s="1852"/>
      <c r="J9" s="1849" t="s">
        <v>30</v>
      </c>
      <c r="K9" s="1849"/>
      <c r="L9" s="236"/>
      <c r="M9" s="1663">
        <f>M10+M11</f>
        <v>55</v>
      </c>
      <c r="N9" s="1664"/>
      <c r="O9" s="236"/>
      <c r="P9" s="1663">
        <f>P10+P11</f>
        <v>2</v>
      </c>
      <c r="Q9" s="1664"/>
      <c r="R9" s="236"/>
      <c r="S9" s="1663">
        <f>S10+S11</f>
        <v>5</v>
      </c>
      <c r="T9" s="1664"/>
      <c r="U9" s="1665">
        <f>IF(ISERROR(U10+U11),"",U10+U11)</f>
        <v>25</v>
      </c>
      <c r="V9" s="1665">
        <f>IF(ISERROR(V10+V11),"",V10+V11)</f>
        <v>37</v>
      </c>
    </row>
    <row r="10" spans="1:22" ht="23.25" customHeight="1">
      <c r="D10" s="1852"/>
      <c r="E10" s="1852"/>
      <c r="F10" s="1852"/>
      <c r="G10" s="1852"/>
      <c r="H10" s="1852"/>
      <c r="I10" s="1852"/>
      <c r="J10" s="1853" t="s">
        <v>15</v>
      </c>
      <c r="K10" s="1853"/>
      <c r="L10" s="1666"/>
      <c r="M10" s="231">
        <v>23</v>
      </c>
      <c r="N10" s="231"/>
      <c r="O10" s="1667"/>
      <c r="P10" s="231">
        <v>0</v>
      </c>
      <c r="Q10" s="1668"/>
      <c r="R10" s="160"/>
      <c r="S10" s="231">
        <v>0</v>
      </c>
      <c r="T10" s="1669"/>
      <c r="U10" s="1670">
        <v>23</v>
      </c>
      <c r="V10" s="1670">
        <v>0</v>
      </c>
    </row>
    <row r="11" spans="1:22" ht="23.25" customHeight="1">
      <c r="D11" s="1852"/>
      <c r="E11" s="1852"/>
      <c r="F11" s="1852"/>
      <c r="G11" s="1852"/>
      <c r="H11" s="1852"/>
      <c r="I11" s="1852"/>
      <c r="J11" s="1854" t="s">
        <v>16</v>
      </c>
      <c r="K11" s="1854"/>
      <c r="L11" s="1671"/>
      <c r="M11" s="1672">
        <v>32</v>
      </c>
      <c r="N11" s="1672"/>
      <c r="O11" s="1671"/>
      <c r="P11" s="1672">
        <v>2</v>
      </c>
      <c r="Q11" s="1673"/>
      <c r="R11" s="1674"/>
      <c r="S11" s="1672">
        <v>5</v>
      </c>
      <c r="T11" s="1673"/>
      <c r="U11" s="1675">
        <v>2</v>
      </c>
      <c r="V11" s="1675">
        <v>37</v>
      </c>
    </row>
    <row r="12" spans="1:22" ht="23.25" customHeight="1">
      <c r="D12" s="1855" t="s">
        <v>142</v>
      </c>
      <c r="E12" s="1855"/>
      <c r="F12" s="1855"/>
      <c r="G12" s="1855"/>
      <c r="H12" s="1855"/>
      <c r="I12" s="1855"/>
      <c r="J12" s="1849" t="s">
        <v>30</v>
      </c>
      <c r="K12" s="1849"/>
      <c r="L12" s="236"/>
      <c r="M12" s="1663">
        <f>M13+M14</f>
        <v>55</v>
      </c>
      <c r="N12" s="1663"/>
      <c r="O12" s="236"/>
      <c r="P12" s="1663">
        <f>P13+P14</f>
        <v>2</v>
      </c>
      <c r="Q12" s="1664"/>
      <c r="R12" s="237"/>
      <c r="S12" s="1663">
        <f>S13+S14</f>
        <v>5</v>
      </c>
      <c r="T12" s="1664"/>
      <c r="U12" s="1665">
        <f>IF(ISERROR(U13+U14),"",U13+U14)</f>
        <v>25</v>
      </c>
      <c r="V12" s="1665">
        <f>IF(ISERROR(V13+V14),"",V13+V14)</f>
        <v>37</v>
      </c>
    </row>
    <row r="13" spans="1:22" ht="23.25" customHeight="1">
      <c r="D13" s="1855"/>
      <c r="E13" s="1855"/>
      <c r="F13" s="1855"/>
      <c r="G13" s="1855"/>
      <c r="H13" s="1855"/>
      <c r="I13" s="1855"/>
      <c r="J13" s="1853" t="s">
        <v>15</v>
      </c>
      <c r="K13" s="1853"/>
      <c r="L13" s="1666"/>
      <c r="M13" s="231">
        <v>23</v>
      </c>
      <c r="N13" s="231"/>
      <c r="O13" s="1666"/>
      <c r="P13" s="231">
        <v>0</v>
      </c>
      <c r="Q13" s="1669"/>
      <c r="R13" s="160"/>
      <c r="S13" s="231">
        <v>0</v>
      </c>
      <c r="T13" s="1669"/>
      <c r="U13" s="1670">
        <v>23</v>
      </c>
      <c r="V13" s="1670">
        <v>0</v>
      </c>
    </row>
    <row r="14" spans="1:22" ht="23.25" customHeight="1">
      <c r="D14" s="1855"/>
      <c r="E14" s="1855"/>
      <c r="F14" s="1855"/>
      <c r="G14" s="1855"/>
      <c r="H14" s="1855"/>
      <c r="I14" s="1855"/>
      <c r="J14" s="1854" t="s">
        <v>16</v>
      </c>
      <c r="K14" s="1854"/>
      <c r="L14" s="1671"/>
      <c r="M14" s="1672">
        <v>32</v>
      </c>
      <c r="N14" s="1672"/>
      <c r="O14" s="1671"/>
      <c r="P14" s="1672">
        <v>2</v>
      </c>
      <c r="Q14" s="1673"/>
      <c r="R14" s="1674"/>
      <c r="S14" s="1672">
        <v>5</v>
      </c>
      <c r="T14" s="1673"/>
      <c r="U14" s="1675">
        <v>2</v>
      </c>
      <c r="V14" s="1675">
        <v>37</v>
      </c>
    </row>
    <row r="15" spans="1:22" ht="23.25" customHeight="1">
      <c r="D15" s="1852" t="s">
        <v>141</v>
      </c>
      <c r="E15" s="1852"/>
      <c r="F15" s="1852"/>
      <c r="G15" s="1852"/>
      <c r="H15" s="1852"/>
      <c r="I15" s="1852"/>
      <c r="J15" s="1849" t="s">
        <v>30</v>
      </c>
      <c r="K15" s="1849"/>
      <c r="L15" s="236"/>
      <c r="M15" s="1663">
        <f>M16+M17</f>
        <v>55</v>
      </c>
      <c r="N15" s="1663"/>
      <c r="O15" s="236"/>
      <c r="P15" s="1663">
        <f>P16+P17</f>
        <v>2</v>
      </c>
      <c r="Q15" s="1664"/>
      <c r="R15" s="237"/>
      <c r="S15" s="1663">
        <f>S16+S17</f>
        <v>5</v>
      </c>
      <c r="T15" s="1664"/>
      <c r="U15" s="1665">
        <f>IF(ISERROR(U16+U17),"",U16+U17)</f>
        <v>25</v>
      </c>
      <c r="V15" s="1665">
        <f>IF(ISERROR(V16+V17),"",V16+V17)</f>
        <v>37</v>
      </c>
    </row>
    <row r="16" spans="1:22" ht="23.25" customHeight="1">
      <c r="D16" s="1852"/>
      <c r="E16" s="1852"/>
      <c r="F16" s="1852"/>
      <c r="G16" s="1852"/>
      <c r="H16" s="1852"/>
      <c r="I16" s="1852"/>
      <c r="J16" s="1853" t="s">
        <v>15</v>
      </c>
      <c r="K16" s="1853"/>
      <c r="L16" s="1666"/>
      <c r="M16" s="231">
        <v>23</v>
      </c>
      <c r="N16" s="231"/>
      <c r="O16" s="1666"/>
      <c r="P16" s="231">
        <v>0</v>
      </c>
      <c r="Q16" s="1669"/>
      <c r="R16" s="160"/>
      <c r="S16" s="231">
        <v>0</v>
      </c>
      <c r="T16" s="1669"/>
      <c r="U16" s="1670">
        <v>23</v>
      </c>
      <c r="V16" s="1670">
        <v>0</v>
      </c>
    </row>
    <row r="17" spans="2:22" ht="23.25" customHeight="1">
      <c r="D17" s="1852"/>
      <c r="E17" s="1852"/>
      <c r="F17" s="1852"/>
      <c r="G17" s="1852"/>
      <c r="H17" s="1852"/>
      <c r="I17" s="1852"/>
      <c r="J17" s="1854" t="s">
        <v>16</v>
      </c>
      <c r="K17" s="1854"/>
      <c r="L17" s="1671"/>
      <c r="M17" s="1672">
        <v>32</v>
      </c>
      <c r="N17" s="1672"/>
      <c r="O17" s="1671"/>
      <c r="P17" s="1672">
        <v>2</v>
      </c>
      <c r="Q17" s="1673"/>
      <c r="R17" s="1674"/>
      <c r="S17" s="1672">
        <v>5</v>
      </c>
      <c r="T17" s="1673"/>
      <c r="U17" s="1675">
        <v>2</v>
      </c>
      <c r="V17" s="1675">
        <v>37</v>
      </c>
    </row>
    <row r="18" spans="2:22">
      <c r="D18" s="814"/>
      <c r="E18" s="814"/>
      <c r="F18" s="814"/>
      <c r="G18" s="814"/>
      <c r="H18" s="814"/>
      <c r="M18" s="23"/>
    </row>
    <row r="19" spans="2:22" ht="23.25" customHeight="1">
      <c r="B19" s="816" t="s">
        <v>563</v>
      </c>
      <c r="D19" s="493"/>
      <c r="E19" s="493"/>
      <c r="F19" s="493"/>
      <c r="G19" s="493"/>
      <c r="H19" s="493"/>
      <c r="J19" s="45"/>
      <c r="K19" s="45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2" ht="23.25" customHeight="1">
      <c r="C20" s="629" t="s">
        <v>603</v>
      </c>
      <c r="D20" s="813"/>
      <c r="E20" s="627"/>
      <c r="F20" s="627"/>
      <c r="G20" s="627"/>
      <c r="H20" s="627"/>
      <c r="I20" s="813"/>
      <c r="J20" s="629"/>
      <c r="K20" s="62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23.25" customHeight="1">
      <c r="C21" s="1861" t="s">
        <v>545</v>
      </c>
      <c r="D21" s="1862"/>
      <c r="E21" s="1862"/>
      <c r="F21" s="1862"/>
      <c r="G21" s="1862"/>
      <c r="H21" s="1862"/>
      <c r="I21" s="1862"/>
      <c r="J21" s="1863"/>
      <c r="K21" s="1676" t="s">
        <v>115</v>
      </c>
      <c r="L21" s="1677"/>
      <c r="M21" s="1677"/>
      <c r="N21" s="1677" t="s">
        <v>116</v>
      </c>
      <c r="O21" s="1677"/>
      <c r="P21" s="1677"/>
      <c r="Q21" s="1677"/>
      <c r="R21" s="1677"/>
      <c r="S21" s="1677"/>
      <c r="T21" s="1677"/>
      <c r="U21" s="1677"/>
      <c r="V21" s="1678"/>
    </row>
    <row r="22" spans="2:22" ht="23.25" customHeight="1">
      <c r="C22" s="1679"/>
      <c r="D22" s="1680"/>
      <c r="E22" s="1680"/>
      <c r="F22" s="1680"/>
      <c r="G22" s="1680"/>
      <c r="H22" s="1680"/>
      <c r="I22" s="1681">
        <v>58</v>
      </c>
      <c r="J22" s="1682"/>
      <c r="K22" s="1683">
        <v>1</v>
      </c>
      <c r="L22" s="1684" t="s">
        <v>1224</v>
      </c>
      <c r="M22" s="1685"/>
      <c r="N22" s="1685"/>
      <c r="O22" s="1685"/>
      <c r="P22" s="1685"/>
      <c r="Q22" s="1685"/>
      <c r="R22" s="1685"/>
      <c r="S22" s="1685"/>
      <c r="T22" s="1685"/>
      <c r="U22" s="1685"/>
      <c r="V22" s="1686"/>
    </row>
    <row r="23" spans="2:22" ht="23.25" customHeight="1">
      <c r="C23" s="1679"/>
      <c r="D23" s="1680"/>
      <c r="E23" s="1680"/>
      <c r="F23" s="1680"/>
      <c r="G23" s="1680"/>
      <c r="H23" s="1680"/>
      <c r="I23" s="1681">
        <v>61</v>
      </c>
      <c r="J23" s="1682"/>
      <c r="K23" s="1683">
        <v>4</v>
      </c>
      <c r="L23" s="1684" t="s">
        <v>1218</v>
      </c>
      <c r="M23" s="1685"/>
      <c r="N23" s="1685"/>
      <c r="O23" s="1685"/>
      <c r="P23" s="1685"/>
      <c r="Q23" s="1685"/>
      <c r="R23" s="1685"/>
      <c r="S23" s="1685"/>
      <c r="T23" s="1685"/>
      <c r="U23" s="1685"/>
      <c r="V23" s="1686"/>
    </row>
    <row r="24" spans="2:22" ht="23.25" customHeight="1">
      <c r="C24" s="1679"/>
      <c r="D24" s="1680"/>
      <c r="E24" s="1680"/>
      <c r="F24" s="1680"/>
      <c r="G24" s="1680"/>
      <c r="H24" s="1680"/>
      <c r="I24" s="1681">
        <v>63</v>
      </c>
      <c r="J24" s="1682"/>
      <c r="K24" s="1683">
        <v>57</v>
      </c>
      <c r="L24" s="1684" t="s">
        <v>580</v>
      </c>
      <c r="M24" s="1685"/>
      <c r="N24" s="1685"/>
      <c r="O24" s="1685"/>
      <c r="P24" s="1685"/>
      <c r="Q24" s="1685"/>
      <c r="R24" s="1685"/>
      <c r="S24" s="1685"/>
      <c r="T24" s="1685"/>
      <c r="U24" s="1685"/>
      <c r="V24" s="1686"/>
    </row>
    <row r="25" spans="2:22" ht="23.25" customHeight="1">
      <c r="C25" s="1687"/>
      <c r="D25" s="1688"/>
      <c r="E25" s="1688"/>
      <c r="F25" s="1688"/>
      <c r="G25" s="1688"/>
      <c r="H25" s="1688"/>
      <c r="I25" s="1689"/>
      <c r="J25" s="1690"/>
      <c r="K25" s="1691"/>
      <c r="L25" s="1692" t="s">
        <v>1219</v>
      </c>
      <c r="M25" s="1677"/>
      <c r="N25" s="1677"/>
      <c r="O25" s="1677"/>
      <c r="P25" s="1677"/>
      <c r="Q25" s="1677"/>
      <c r="R25" s="1677"/>
      <c r="S25" s="1677"/>
      <c r="T25" s="1677"/>
      <c r="U25" s="1677"/>
      <c r="V25" s="1678"/>
    </row>
    <row r="26" spans="2:22" ht="23.25" customHeight="1">
      <c r="C26" s="1687"/>
      <c r="D26" s="1688"/>
      <c r="E26" s="1688"/>
      <c r="F26" s="1688"/>
      <c r="G26" s="1688"/>
      <c r="H26" s="1688"/>
      <c r="I26" s="1689"/>
      <c r="J26" s="1690"/>
      <c r="K26" s="1691"/>
      <c r="L26" s="1692" t="s">
        <v>1220</v>
      </c>
      <c r="M26" s="1677"/>
      <c r="N26" s="1677"/>
      <c r="O26" s="1677"/>
      <c r="P26" s="1677"/>
      <c r="Q26" s="1677"/>
      <c r="R26" s="1677"/>
      <c r="S26" s="1677"/>
      <c r="T26" s="1677"/>
      <c r="U26" s="1677"/>
      <c r="V26" s="1678"/>
    </row>
    <row r="27" spans="2:22" ht="23.25" customHeight="1">
      <c r="C27" s="1687"/>
      <c r="D27" s="1688"/>
      <c r="E27" s="1688"/>
      <c r="F27" s="1688"/>
      <c r="G27" s="1688"/>
      <c r="H27" s="1688"/>
      <c r="I27" s="1689"/>
      <c r="J27" s="1690"/>
      <c r="K27" s="1691"/>
      <c r="L27" s="1692" t="s">
        <v>1221</v>
      </c>
      <c r="M27" s="1677"/>
      <c r="N27" s="1677"/>
      <c r="O27" s="1677"/>
      <c r="P27" s="1677"/>
      <c r="Q27" s="1677"/>
      <c r="R27" s="1677"/>
      <c r="S27" s="1677"/>
      <c r="T27" s="1677"/>
      <c r="U27" s="1677"/>
      <c r="V27" s="1678"/>
    </row>
    <row r="28" spans="2:22" ht="23.25" customHeight="1">
      <c r="C28" s="1687"/>
      <c r="D28" s="1688"/>
      <c r="E28" s="1688"/>
      <c r="F28" s="1688"/>
      <c r="G28" s="1688"/>
      <c r="H28" s="1688"/>
      <c r="I28" s="1689"/>
      <c r="J28" s="1690"/>
      <c r="K28" s="1691"/>
      <c r="L28" s="1693" t="s">
        <v>1222</v>
      </c>
      <c r="M28" s="1677"/>
      <c r="N28" s="1677"/>
      <c r="O28" s="1677"/>
      <c r="P28" s="1677"/>
      <c r="Q28" s="1677"/>
      <c r="R28" s="1677"/>
      <c r="S28" s="1677"/>
      <c r="T28" s="1677"/>
      <c r="U28" s="1677"/>
      <c r="V28" s="1678"/>
    </row>
    <row r="29" spans="2:22" ht="23.25" customHeight="1">
      <c r="C29" s="1694"/>
      <c r="D29" s="1695"/>
      <c r="E29" s="1695"/>
      <c r="F29" s="1695"/>
      <c r="G29" s="1695"/>
      <c r="H29" s="1695"/>
      <c r="I29" s="1696"/>
      <c r="J29" s="1697"/>
      <c r="K29" s="1698"/>
      <c r="L29" s="1699" t="s">
        <v>1223</v>
      </c>
      <c r="M29" s="1700"/>
      <c r="N29" s="1700"/>
      <c r="O29" s="1700"/>
      <c r="P29" s="1700"/>
      <c r="Q29" s="1700"/>
      <c r="R29" s="1700"/>
      <c r="S29" s="1700"/>
      <c r="T29" s="1700"/>
      <c r="U29" s="1700"/>
      <c r="V29" s="1701"/>
    </row>
    <row r="30" spans="2:22" ht="23.25" customHeight="1">
      <c r="C30" s="1856" t="s">
        <v>117</v>
      </c>
      <c r="D30" s="1856"/>
      <c r="E30" s="1856"/>
      <c r="F30" s="1856"/>
      <c r="G30" s="1856"/>
      <c r="H30" s="1856"/>
      <c r="I30" s="1856"/>
      <c r="J30" s="1856"/>
      <c r="K30" s="1702">
        <v>62</v>
      </c>
      <c r="L30" s="1703"/>
      <c r="M30" s="1704"/>
      <c r="N30" s="1704"/>
      <c r="O30" s="1704"/>
      <c r="P30" s="1704"/>
      <c r="Q30" s="1704"/>
      <c r="R30" s="1704"/>
      <c r="S30" s="1704"/>
      <c r="T30" s="1704"/>
      <c r="U30" s="1704"/>
      <c r="V30" s="1705"/>
    </row>
    <row r="31" spans="2:22">
      <c r="C31" s="1706"/>
      <c r="D31" s="1707"/>
      <c r="E31" s="1707"/>
      <c r="F31" s="1707"/>
      <c r="G31" s="1707"/>
      <c r="H31" s="1707"/>
      <c r="I31" s="1707"/>
      <c r="J31" s="1706"/>
      <c r="K31" s="1706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</row>
    <row r="32" spans="2:22" ht="23.25" customHeight="1">
      <c r="C32" s="1709" t="s">
        <v>602</v>
      </c>
      <c r="D32" s="1707"/>
      <c r="E32" s="1710"/>
      <c r="F32" s="1710"/>
      <c r="G32" s="1710"/>
      <c r="H32" s="1710"/>
      <c r="I32" s="1709"/>
      <c r="J32" s="1711"/>
      <c r="K32" s="1712"/>
      <c r="L32" s="1713"/>
      <c r="M32" s="1713"/>
      <c r="N32" s="1713"/>
      <c r="O32" s="1713"/>
      <c r="P32" s="1713"/>
      <c r="Q32" s="1713"/>
      <c r="R32" s="1713"/>
      <c r="S32" s="1713"/>
      <c r="T32" s="1713"/>
      <c r="U32" s="1713"/>
      <c r="V32" s="1713"/>
    </row>
    <row r="33" spans="3:22" ht="23.25" customHeight="1">
      <c r="C33" s="1857" t="s">
        <v>545</v>
      </c>
      <c r="D33" s="1857"/>
      <c r="E33" s="1857"/>
      <c r="F33" s="1857"/>
      <c r="G33" s="1857"/>
      <c r="H33" s="1857"/>
      <c r="I33" s="1857"/>
      <c r="J33" s="1857"/>
      <c r="K33" s="1676" t="s">
        <v>115</v>
      </c>
      <c r="L33" s="1692"/>
      <c r="M33" s="1677"/>
      <c r="N33" s="1677" t="s">
        <v>116</v>
      </c>
      <c r="O33" s="1677"/>
      <c r="P33" s="1677"/>
      <c r="Q33" s="1677"/>
      <c r="R33" s="1677"/>
      <c r="S33" s="1677"/>
      <c r="T33" s="1677"/>
      <c r="U33" s="1677"/>
      <c r="V33" s="1678"/>
    </row>
    <row r="34" spans="3:22" ht="23.25" customHeight="1">
      <c r="C34" s="1679"/>
      <c r="D34" s="1680"/>
      <c r="E34" s="1680"/>
      <c r="F34" s="1680"/>
      <c r="G34" s="1680"/>
      <c r="H34" s="1680"/>
      <c r="I34" s="1681">
        <v>19</v>
      </c>
      <c r="J34" s="1682"/>
      <c r="K34" s="1683">
        <v>62</v>
      </c>
      <c r="L34" s="1684" t="s">
        <v>1226</v>
      </c>
      <c r="M34" s="1685"/>
      <c r="N34" s="1685"/>
      <c r="O34" s="1685"/>
      <c r="P34" s="1685"/>
      <c r="Q34" s="1685"/>
      <c r="R34" s="1685"/>
      <c r="S34" s="1685"/>
      <c r="T34" s="1685"/>
      <c r="U34" s="1685"/>
      <c r="V34" s="1686"/>
    </row>
    <row r="35" spans="3:22" ht="23.25" customHeight="1">
      <c r="C35" s="1687"/>
      <c r="D35" s="1688"/>
      <c r="E35" s="1688"/>
      <c r="F35" s="1688"/>
      <c r="G35" s="1688"/>
      <c r="H35" s="1688"/>
      <c r="I35" s="1689"/>
      <c r="J35" s="1690"/>
      <c r="K35" s="1691"/>
      <c r="L35" s="1692"/>
      <c r="M35" s="1677"/>
      <c r="N35" s="1677"/>
      <c r="O35" s="1677"/>
      <c r="P35" s="1677"/>
      <c r="Q35" s="1677"/>
      <c r="R35" s="1677"/>
      <c r="S35" s="1677"/>
      <c r="T35" s="1677"/>
      <c r="U35" s="1677"/>
      <c r="V35" s="1678"/>
    </row>
    <row r="36" spans="3:22" ht="23.25" customHeight="1">
      <c r="C36" s="1858" t="s">
        <v>117</v>
      </c>
      <c r="D36" s="1859"/>
      <c r="E36" s="1859"/>
      <c r="F36" s="1859"/>
      <c r="G36" s="1859"/>
      <c r="H36" s="1859"/>
      <c r="I36" s="1859"/>
      <c r="J36" s="1859"/>
      <c r="K36" s="1714">
        <v>62</v>
      </c>
      <c r="L36" s="1715"/>
      <c r="M36" s="1716"/>
      <c r="N36" s="1716"/>
      <c r="O36" s="1716"/>
      <c r="P36" s="1716"/>
      <c r="Q36" s="1716"/>
      <c r="R36" s="1716"/>
      <c r="S36" s="1716"/>
      <c r="T36" s="1716"/>
      <c r="U36" s="1716"/>
      <c r="V36" s="1717"/>
    </row>
    <row r="37" spans="3:22">
      <c r="C37" s="1706"/>
      <c r="D37" s="1707"/>
      <c r="E37" s="1707"/>
      <c r="F37" s="1707"/>
      <c r="G37" s="1707"/>
      <c r="H37" s="1707"/>
      <c r="I37" s="1707"/>
      <c r="J37" s="1706"/>
      <c r="K37" s="1706"/>
      <c r="L37" s="1708"/>
      <c r="M37" s="1708"/>
      <c r="N37" s="1708"/>
      <c r="O37" s="1708"/>
      <c r="P37" s="1708"/>
      <c r="Q37" s="1708"/>
      <c r="R37" s="1708"/>
      <c r="S37" s="1708"/>
      <c r="T37" s="1708"/>
      <c r="U37" s="1708"/>
      <c r="V37" s="1708"/>
    </row>
    <row r="38" spans="3:22" s="22" customFormat="1" ht="23.25" customHeight="1">
      <c r="C38" s="1718" t="s">
        <v>604</v>
      </c>
      <c r="D38" s="1718"/>
      <c r="E38" s="1719"/>
      <c r="F38" s="1719"/>
      <c r="G38" s="1719"/>
      <c r="H38" s="1719"/>
      <c r="I38" s="1718"/>
      <c r="J38" s="1712"/>
      <c r="K38" s="1712"/>
      <c r="L38" s="1712"/>
      <c r="M38" s="1712"/>
      <c r="N38" s="1712"/>
      <c r="O38" s="1712"/>
      <c r="P38" s="1712"/>
      <c r="Q38" s="1712"/>
      <c r="R38" s="1712"/>
      <c r="S38" s="1712"/>
      <c r="T38" s="1712"/>
      <c r="U38" s="1712"/>
      <c r="V38" s="1712"/>
    </row>
    <row r="39" spans="3:22" ht="23.25" customHeight="1">
      <c r="C39" s="1860" t="s">
        <v>545</v>
      </c>
      <c r="D39" s="1860"/>
      <c r="E39" s="1860"/>
      <c r="F39" s="1860"/>
      <c r="G39" s="1860"/>
      <c r="H39" s="1860"/>
      <c r="I39" s="1860"/>
      <c r="J39" s="1860"/>
      <c r="K39" s="1676" t="s">
        <v>115</v>
      </c>
      <c r="L39" s="1692"/>
      <c r="M39" s="1677"/>
      <c r="N39" s="1677" t="s">
        <v>116</v>
      </c>
      <c r="O39" s="1677"/>
      <c r="P39" s="1677"/>
      <c r="Q39" s="1677"/>
      <c r="R39" s="1677"/>
      <c r="S39" s="1677"/>
      <c r="T39" s="1677"/>
      <c r="U39" s="1677"/>
      <c r="V39" s="1678"/>
    </row>
    <row r="40" spans="3:22" ht="23.25" customHeight="1">
      <c r="C40" s="1679"/>
      <c r="D40" s="1680"/>
      <c r="E40" s="1680"/>
      <c r="F40" s="1680"/>
      <c r="G40" s="1680"/>
      <c r="H40" s="1680"/>
      <c r="I40" s="1681">
        <v>16</v>
      </c>
      <c r="J40" s="1682"/>
      <c r="K40" s="1683">
        <v>5</v>
      </c>
      <c r="L40" s="1684" t="s">
        <v>1225</v>
      </c>
      <c r="M40" s="1685"/>
      <c r="N40" s="1685"/>
      <c r="O40" s="1685"/>
      <c r="P40" s="1685"/>
      <c r="Q40" s="1685"/>
      <c r="R40" s="1685"/>
      <c r="S40" s="1685"/>
      <c r="T40" s="1685"/>
      <c r="U40" s="1685"/>
      <c r="V40" s="1686"/>
    </row>
    <row r="41" spans="3:22" ht="23.25" customHeight="1">
      <c r="C41" s="1720"/>
      <c r="D41" s="1721"/>
      <c r="E41" s="1721"/>
      <c r="F41" s="1721"/>
      <c r="G41" s="1721"/>
      <c r="H41" s="1721"/>
      <c r="I41" s="1722">
        <v>17</v>
      </c>
      <c r="J41" s="1723"/>
      <c r="K41" s="1724">
        <v>57</v>
      </c>
      <c r="L41" s="1684" t="s">
        <v>580</v>
      </c>
      <c r="M41" s="1725"/>
      <c r="N41" s="1725"/>
      <c r="O41" s="1725"/>
      <c r="P41" s="1725"/>
      <c r="Q41" s="1725"/>
      <c r="R41" s="1725"/>
      <c r="S41" s="1725"/>
      <c r="T41" s="1725"/>
      <c r="U41" s="1725"/>
      <c r="V41" s="1726"/>
    </row>
    <row r="42" spans="3:22" ht="23.25" customHeight="1">
      <c r="C42" s="1687"/>
      <c r="D42" s="1688"/>
      <c r="E42" s="1688"/>
      <c r="F42" s="1688"/>
      <c r="G42" s="1688"/>
      <c r="H42" s="1688"/>
      <c r="I42" s="1689"/>
      <c r="J42" s="1690"/>
      <c r="K42" s="1691"/>
      <c r="L42" s="1692" t="s">
        <v>1219</v>
      </c>
      <c r="M42" s="1677"/>
      <c r="N42" s="1677"/>
      <c r="O42" s="1677"/>
      <c r="P42" s="1677"/>
      <c r="Q42" s="1677"/>
      <c r="R42" s="1677"/>
      <c r="S42" s="1677"/>
      <c r="T42" s="1677"/>
      <c r="U42" s="1677"/>
      <c r="V42" s="1678"/>
    </row>
    <row r="43" spans="3:22" ht="23.25" customHeight="1">
      <c r="C43" s="1687"/>
      <c r="D43" s="1688"/>
      <c r="E43" s="1688"/>
      <c r="F43" s="1688"/>
      <c r="G43" s="1688"/>
      <c r="H43" s="1688"/>
      <c r="I43" s="1689"/>
      <c r="J43" s="1690"/>
      <c r="K43" s="1691"/>
      <c r="L43" s="1692" t="s">
        <v>1220</v>
      </c>
      <c r="M43" s="1677"/>
      <c r="N43" s="1677"/>
      <c r="O43" s="1677"/>
      <c r="P43" s="1677"/>
      <c r="Q43" s="1677"/>
      <c r="R43" s="1677"/>
      <c r="S43" s="1677"/>
      <c r="T43" s="1677"/>
      <c r="U43" s="1677"/>
      <c r="V43" s="1678"/>
    </row>
    <row r="44" spans="3:22" ht="23.25" customHeight="1">
      <c r="C44" s="1687"/>
      <c r="D44" s="1688"/>
      <c r="E44" s="1688"/>
      <c r="F44" s="1688"/>
      <c r="G44" s="1688"/>
      <c r="H44" s="1688"/>
      <c r="I44" s="1689"/>
      <c r="J44" s="1690"/>
      <c r="K44" s="1691"/>
      <c r="L44" s="1692" t="s">
        <v>1221</v>
      </c>
      <c r="M44" s="1677"/>
      <c r="N44" s="1677"/>
      <c r="O44" s="1677"/>
      <c r="P44" s="1677"/>
      <c r="Q44" s="1677"/>
      <c r="R44" s="1677"/>
      <c r="S44" s="1677"/>
      <c r="T44" s="1677"/>
      <c r="U44" s="1677"/>
      <c r="V44" s="1678"/>
    </row>
    <row r="45" spans="3:22" ht="23.25" customHeight="1">
      <c r="C45" s="1687"/>
      <c r="D45" s="1688"/>
      <c r="E45" s="1688"/>
      <c r="F45" s="1688"/>
      <c r="G45" s="1688"/>
      <c r="H45" s="1688"/>
      <c r="I45" s="1689"/>
      <c r="J45" s="1690"/>
      <c r="K45" s="1691"/>
      <c r="L45" s="1693" t="s">
        <v>1222</v>
      </c>
      <c r="M45" s="1677"/>
      <c r="N45" s="1677"/>
      <c r="O45" s="1677"/>
      <c r="P45" s="1677"/>
      <c r="Q45" s="1677"/>
      <c r="R45" s="1677"/>
      <c r="S45" s="1677"/>
      <c r="T45" s="1677"/>
      <c r="U45" s="1677"/>
      <c r="V45" s="1678"/>
    </row>
    <row r="46" spans="3:22" ht="23.25" customHeight="1">
      <c r="C46" s="1727"/>
      <c r="D46" s="1728"/>
      <c r="E46" s="1728"/>
      <c r="F46" s="1728"/>
      <c r="G46" s="1728"/>
      <c r="H46" s="1728"/>
      <c r="I46" s="1729"/>
      <c r="J46" s="1730"/>
      <c r="K46" s="1731"/>
      <c r="L46" s="1699" t="s">
        <v>1223</v>
      </c>
      <c r="M46" s="1732"/>
      <c r="N46" s="1732"/>
      <c r="O46" s="1732"/>
      <c r="P46" s="1732"/>
      <c r="Q46" s="1732"/>
      <c r="R46" s="1732"/>
      <c r="S46" s="1732"/>
      <c r="T46" s="1732"/>
      <c r="U46" s="1732"/>
      <c r="V46" s="1733"/>
    </row>
    <row r="47" spans="3:22" ht="23.25" customHeight="1">
      <c r="C47" s="1858" t="s">
        <v>117</v>
      </c>
      <c r="D47" s="1859"/>
      <c r="E47" s="1859"/>
      <c r="F47" s="1859"/>
      <c r="G47" s="1859"/>
      <c r="H47" s="1859"/>
      <c r="I47" s="1859"/>
      <c r="J47" s="1859"/>
      <c r="K47" s="1714">
        <v>62</v>
      </c>
      <c r="L47" s="1715"/>
      <c r="M47" s="1716"/>
      <c r="N47" s="1716"/>
      <c r="O47" s="1716"/>
      <c r="P47" s="1716"/>
      <c r="Q47" s="1716"/>
      <c r="R47" s="1716"/>
      <c r="S47" s="1716"/>
      <c r="T47" s="1716"/>
      <c r="U47" s="1716"/>
      <c r="V47" s="1717"/>
    </row>
    <row r="48" spans="3:22" ht="12" customHeight="1">
      <c r="D48" s="814"/>
      <c r="E48" s="814"/>
      <c r="F48" s="814"/>
      <c r="G48" s="814"/>
      <c r="H48" s="814"/>
      <c r="M48" s="23"/>
    </row>
  </sheetData>
  <sheetProtection selectLockedCells="1" selectUnlockedCells="1"/>
  <mergeCells count="26">
    <mergeCell ref="D15:I17"/>
    <mergeCell ref="J15:K15"/>
    <mergeCell ref="J16:K16"/>
    <mergeCell ref="J17:K17"/>
    <mergeCell ref="C21:J21"/>
    <mergeCell ref="C30:J30"/>
    <mergeCell ref="C33:J33"/>
    <mergeCell ref="C36:J36"/>
    <mergeCell ref="C39:J39"/>
    <mergeCell ref="C47:J47"/>
    <mergeCell ref="D9:I11"/>
    <mergeCell ref="J9:K9"/>
    <mergeCell ref="J10:K10"/>
    <mergeCell ref="J11:K11"/>
    <mergeCell ref="D12:I14"/>
    <mergeCell ref="J12:K12"/>
    <mergeCell ref="J13:K13"/>
    <mergeCell ref="J14:K14"/>
    <mergeCell ref="D7:K8"/>
    <mergeCell ref="L7:N7"/>
    <mergeCell ref="O7:Q7"/>
    <mergeCell ref="R7:T7"/>
    <mergeCell ref="U7:V7"/>
    <mergeCell ref="L8:N8"/>
    <mergeCell ref="O8:Q8"/>
    <mergeCell ref="R8:T8"/>
  </mergeCells>
  <phoneticPr fontId="27"/>
  <pageMargins left="0.86614173228346458" right="0.6692913385826772" top="0.78740157480314965" bottom="0.59055118110236227" header="0.51181102362204722" footer="0.39370078740157483"/>
  <pageSetup paperSize="9" scale="78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35</vt:i4>
      </vt:variant>
    </vt:vector>
  </HeadingPairs>
  <TitlesOfParts>
    <vt:vector size="59" baseType="lpstr">
      <vt:lpstr>表1-1</vt:lpstr>
      <vt:lpstr>表1-2</vt:lpstr>
      <vt:lpstr>図1</vt:lpstr>
      <vt:lpstr>表2</vt:lpstr>
      <vt:lpstr>表3</vt:lpstr>
      <vt:lpstr>表4及び5</vt:lpstr>
      <vt:lpstr>図2</vt:lpstr>
      <vt:lpstr>図3</vt:lpstr>
      <vt:lpstr>表6及7</vt:lpstr>
      <vt:lpstr>表8及9</vt:lpstr>
      <vt:lpstr>図4</vt:lpstr>
      <vt:lpstr>表10-1</vt:lpstr>
      <vt:lpstr>表10-2</vt:lpstr>
      <vt:lpstr>図5</vt:lpstr>
      <vt:lpstr>図6</vt:lpstr>
      <vt:lpstr>図7</vt:lpstr>
      <vt:lpstr>図8</vt:lpstr>
      <vt:lpstr>表12-1</vt:lpstr>
      <vt:lpstr>表12-2</vt:lpstr>
      <vt:lpstr>表13</vt:lpstr>
      <vt:lpstr>表14-1</vt:lpstr>
      <vt:lpstr>表14-2</vt:lpstr>
      <vt:lpstr>表15</vt:lpstr>
      <vt:lpstr>情報</vt:lpstr>
      <vt:lpstr>'表10-1'!___xlnm.Print_Area</vt:lpstr>
      <vt:lpstr>'表10-2'!__xlnm.Print_Area</vt:lpstr>
      <vt:lpstr>'表12-1'!__xlnm.Print_Area</vt:lpstr>
      <vt:lpstr>表13!__xlnm.Print_Area</vt:lpstr>
      <vt:lpstr>'表14-2'!__xlnm.Print_Area</vt:lpstr>
      <vt:lpstr>表2!__xlnm.Print_Area</vt:lpstr>
      <vt:lpstr>表4及び5!__xlnm.Print_Area</vt:lpstr>
      <vt:lpstr>表6及7!__xlnm.Print_Area</vt:lpstr>
      <vt:lpstr>図1!Print_Area</vt:lpstr>
      <vt:lpstr>図2!Print_Area</vt:lpstr>
      <vt:lpstr>図3!Print_Area</vt:lpstr>
      <vt:lpstr>図4!Print_Area</vt:lpstr>
      <vt:lpstr>図5!Print_Area</vt:lpstr>
      <vt:lpstr>図6!Print_Area</vt:lpstr>
      <vt:lpstr>図7!Print_Area</vt:lpstr>
      <vt:lpstr>図8!Print_Area</vt:lpstr>
      <vt:lpstr>'表10-1'!Print_Area</vt:lpstr>
      <vt:lpstr>'表10-2'!Print_Area</vt:lpstr>
      <vt:lpstr>'表1-1'!Print_Area</vt:lpstr>
      <vt:lpstr>'表1-2'!Print_Area</vt:lpstr>
      <vt:lpstr>'表12-1'!Print_Area</vt:lpstr>
      <vt:lpstr>'表12-2'!Print_Area</vt:lpstr>
      <vt:lpstr>表13!Print_Area</vt:lpstr>
      <vt:lpstr>'表14-1'!Print_Area</vt:lpstr>
      <vt:lpstr>'表14-2'!Print_Area</vt:lpstr>
      <vt:lpstr>表15!Print_Area</vt:lpstr>
      <vt:lpstr>表2!Print_Area</vt:lpstr>
      <vt:lpstr>表3!Print_Area</vt:lpstr>
      <vt:lpstr>表4及び5!Print_Area</vt:lpstr>
      <vt:lpstr>表6及7!Print_Area</vt:lpstr>
      <vt:lpstr>表8及9!Print_Area</vt:lpstr>
      <vt:lpstr>'表10-2'!Z_5CAA5105_8933_11D9_B515_00E0006B9775__wvu_PrintArea</vt:lpstr>
      <vt:lpstr>'表12-1'!Z_5CAA5105_8933_11D9_B515_00E0006B9775__wvu_PrintArea</vt:lpstr>
      <vt:lpstr>表2!Z_5CAA5105_8933_11D9_B515_00E0006B9775__wvu_PrintArea</vt:lpstr>
      <vt:lpstr>表6及7!Z_5CAA5105_8933_11D9_B515_00E0006B9775__wvu_PrintArea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2021-11-30T05:54:28Z</cp:lastPrinted>
  <dcterms:created xsi:type="dcterms:W3CDTF">2021-10-13T12:17:01Z</dcterms:created>
  <dcterms:modified xsi:type="dcterms:W3CDTF">2023-07-12T01:42:08Z</dcterms:modified>
</cp:coreProperties>
</file>